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e and Facilities\OCHE Finance\2023\Budget Forms\Tuition and Fee Schedules\"/>
    </mc:Choice>
  </mc:AlternateContent>
  <xr:revisionPtr revIDLastSave="0" documentId="13_ncr:1_{5221A40E-47D0-4B5E-9FC1-79B6C7B7C935}" xr6:coauthVersionLast="36" xr6:coauthVersionMax="36" xr10:uidLastSave="{00000000-0000-0000-0000-000000000000}"/>
  <bookViews>
    <workbookView xWindow="0" yWindow="0" windowWidth="38400" windowHeight="17025" tabRatio="543" xr2:uid="{00000000-000D-0000-FFFF-FFFF00000000}"/>
  </bookViews>
  <sheets>
    <sheet name="Disclosure Summary" sheetId="6" r:id="rId1"/>
    <sheet name="Sched 1-Actual Cost Study Calcs" sheetId="1" r:id="rId2"/>
    <sheet name="Sched 2-Full Cost Estimates" sheetId="4" r:id="rId3"/>
    <sheet name="Sched 3-Full Cost Dist by Inst" sheetId="5" r:id="rId4"/>
    <sheet name="Change in cost of instruction" sheetId="7" r:id="rId5"/>
  </sheets>
  <definedNames>
    <definedName name="_xlnm.Print_Area" localSheetId="4">'Change in cost of instruction'!$A$1:$E$23</definedName>
    <definedName name="_xlnm.Print_Area" localSheetId="0">'Disclosure Summary'!$A$1:$G$25</definedName>
    <definedName name="_xlnm.Print_Area" localSheetId="1">'Sched 1-Actual Cost Study Calcs'!$A$1:$AA$22</definedName>
    <definedName name="_xlnm.Print_Titles" localSheetId="1">'Sched 1-Actual Cost Study Calcs'!$A:$B,'Sched 1-Actual Cost Study Calcs'!$1:$7</definedName>
  </definedNames>
  <calcPr calcId="191029"/>
</workbook>
</file>

<file path=xl/calcChain.xml><?xml version="1.0" encoding="utf-8"?>
<calcChain xmlns="http://schemas.openxmlformats.org/spreadsheetml/2006/main">
  <c r="G25" i="5" l="1"/>
  <c r="G15" i="5"/>
  <c r="T11" i="1" l="1"/>
  <c r="Q16" i="1" l="1"/>
  <c r="Q15" i="1"/>
  <c r="Q14" i="1"/>
  <c r="Q13" i="1"/>
  <c r="Q12" i="1"/>
  <c r="Q11" i="1"/>
  <c r="Q10" i="1"/>
  <c r="I20" i="6"/>
  <c r="A2" i="5" l="1"/>
  <c r="A2" i="4" l="1"/>
  <c r="A2" i="1"/>
  <c r="D19" i="1" l="1"/>
  <c r="H10" i="1" l="1"/>
  <c r="H12" i="1" l="1"/>
  <c r="H10" i="5" l="1"/>
  <c r="C8" i="6" s="1"/>
  <c r="T19" i="1"/>
  <c r="H23" i="5"/>
  <c r="C22" i="6" s="1"/>
  <c r="H15" i="1"/>
  <c r="L15" i="1"/>
  <c r="G14" i="4"/>
  <c r="H21" i="5"/>
  <c r="C19" i="6" s="1"/>
  <c r="H17" i="1"/>
  <c r="L10" i="1"/>
  <c r="L17" i="1"/>
  <c r="G16" i="4"/>
  <c r="H16" i="1"/>
  <c r="L16" i="1"/>
  <c r="G15" i="4"/>
  <c r="H14" i="1"/>
  <c r="L14" i="1"/>
  <c r="G13" i="4"/>
  <c r="H13" i="1"/>
  <c r="L13" i="1"/>
  <c r="G12" i="4"/>
  <c r="L12" i="1"/>
  <c r="G11" i="4"/>
  <c r="H11" i="1"/>
  <c r="L11" i="1"/>
  <c r="G10" i="4"/>
  <c r="H25" i="5"/>
  <c r="C24" i="6" s="1"/>
  <c r="H19" i="5"/>
  <c r="C17" i="6" s="1"/>
  <c r="H17" i="5"/>
  <c r="C15" i="6" s="1"/>
  <c r="H15" i="5"/>
  <c r="C13" i="6" s="1"/>
  <c r="H13" i="5"/>
  <c r="C11" i="6" s="1"/>
  <c r="H11" i="5"/>
  <c r="C9" i="6" s="1"/>
  <c r="D18" i="4"/>
  <c r="W19" i="1"/>
  <c r="P19" i="1"/>
  <c r="O19" i="1"/>
  <c r="N19" i="1"/>
  <c r="E19" i="1"/>
  <c r="F19" i="1"/>
  <c r="G19" i="1"/>
  <c r="I19" i="1"/>
  <c r="J19" i="1"/>
  <c r="K19" i="1"/>
  <c r="M10" i="1" l="1"/>
  <c r="G9" i="4"/>
  <c r="G18" i="4" s="1"/>
  <c r="M15" i="1"/>
  <c r="R15" i="1" s="1"/>
  <c r="M13" i="1"/>
  <c r="R13" i="1" s="1"/>
  <c r="S13" i="1" s="1"/>
  <c r="E12" i="4" s="1"/>
  <c r="F12" i="4" s="1"/>
  <c r="H12" i="4" s="1"/>
  <c r="D16" i="5" s="1"/>
  <c r="E16" i="5" s="1"/>
  <c r="I17" i="5" s="1"/>
  <c r="M11" i="1"/>
  <c r="R11" i="1" s="1"/>
  <c r="V11" i="1" s="1"/>
  <c r="X11" i="1" s="1"/>
  <c r="Y11" i="1" s="1"/>
  <c r="AA11" i="1" s="1"/>
  <c r="J12" i="5" s="1"/>
  <c r="M12" i="1"/>
  <c r="R12" i="1" s="1"/>
  <c r="M14" i="1"/>
  <c r="R14" i="1" s="1"/>
  <c r="U14" i="1" s="1"/>
  <c r="Q19" i="1"/>
  <c r="M17" i="1"/>
  <c r="R17" i="1" s="1"/>
  <c r="V17" i="1" s="1"/>
  <c r="X17" i="1" s="1"/>
  <c r="Y17" i="1" s="1"/>
  <c r="AA17" i="1" s="1"/>
  <c r="J24" i="5" s="1"/>
  <c r="M16" i="1"/>
  <c r="R16" i="1" s="1"/>
  <c r="S16" i="1" s="1"/>
  <c r="E15" i="4" s="1"/>
  <c r="F15" i="4" s="1"/>
  <c r="H15" i="4" s="1"/>
  <c r="D22" i="5" s="1"/>
  <c r="E22" i="5" s="1"/>
  <c r="I23" i="5" s="1"/>
  <c r="L19" i="1"/>
  <c r="H19" i="1"/>
  <c r="R10" i="1" l="1"/>
  <c r="R19" i="1" s="1"/>
  <c r="D22" i="6"/>
  <c r="D15" i="6"/>
  <c r="V14" i="1"/>
  <c r="X14" i="1" s="1"/>
  <c r="Z14" i="1" s="1"/>
  <c r="V15" i="1"/>
  <c r="X15" i="1" s="1"/>
  <c r="Y15" i="1" s="1"/>
  <c r="AA15" i="1" s="1"/>
  <c r="J20" i="5" s="1"/>
  <c r="U15" i="1"/>
  <c r="S14" i="1"/>
  <c r="E13" i="4" s="1"/>
  <c r="F13" i="4" s="1"/>
  <c r="H13" i="4" s="1"/>
  <c r="D18" i="5" s="1"/>
  <c r="E18" i="5" s="1"/>
  <c r="I19" i="5" s="1"/>
  <c r="V12" i="1"/>
  <c r="X12" i="1" s="1"/>
  <c r="Z12" i="1" s="1"/>
  <c r="S12" i="1"/>
  <c r="E11" i="4" s="1"/>
  <c r="F11" i="4" s="1"/>
  <c r="H11" i="4" s="1"/>
  <c r="D14" i="5" s="1"/>
  <c r="E14" i="5" s="1"/>
  <c r="I15" i="5" s="1"/>
  <c r="U12" i="1"/>
  <c r="U16" i="1"/>
  <c r="S15" i="1"/>
  <c r="E14" i="4" s="1"/>
  <c r="F14" i="4" s="1"/>
  <c r="U13" i="1"/>
  <c r="V13" i="1"/>
  <c r="X13" i="1" s="1"/>
  <c r="Z13" i="1" s="1"/>
  <c r="S11" i="1"/>
  <c r="E10" i="4" s="1"/>
  <c r="F10" i="4" s="1"/>
  <c r="H10" i="4" s="1"/>
  <c r="D12" i="5" s="1"/>
  <c r="E12" i="5" s="1"/>
  <c r="I13" i="5" s="1"/>
  <c r="U11" i="1"/>
  <c r="S17" i="1"/>
  <c r="E16" i="4" s="1"/>
  <c r="F16" i="4" s="1"/>
  <c r="H16" i="4" s="1"/>
  <c r="D24" i="5" s="1"/>
  <c r="E24" i="5" s="1"/>
  <c r="I25" i="5" s="1"/>
  <c r="U17" i="1"/>
  <c r="Z17" i="1"/>
  <c r="V16" i="1"/>
  <c r="X16" i="1" s="1"/>
  <c r="M19" i="1"/>
  <c r="Z11" i="1"/>
  <c r="D19" i="7" l="1"/>
  <c r="E19" i="7" s="1"/>
  <c r="G22" i="6"/>
  <c r="I22" i="6" s="1"/>
  <c r="D13" i="7"/>
  <c r="E13" i="7" s="1"/>
  <c r="G15" i="6"/>
  <c r="I15" i="6" s="1"/>
  <c r="Z16" i="1"/>
  <c r="Y16" i="1"/>
  <c r="AA16" i="1" s="1"/>
  <c r="J22" i="5" s="1"/>
  <c r="K23" i="5" s="1"/>
  <c r="U10" i="1"/>
  <c r="V10" i="1"/>
  <c r="X10" i="1" s="1"/>
  <c r="Z10" i="1" s="1"/>
  <c r="S10" i="1"/>
  <c r="E9" i="4" s="1"/>
  <c r="F9" i="4" s="1"/>
  <c r="H9" i="4" s="1"/>
  <c r="D9" i="5" s="1"/>
  <c r="E9" i="5" s="1"/>
  <c r="I10" i="5" s="1"/>
  <c r="S19" i="1"/>
  <c r="E18" i="4" s="1"/>
  <c r="H14" i="4"/>
  <c r="D20" i="5" s="1"/>
  <c r="E20" i="5" s="1"/>
  <c r="I21" i="5" s="1"/>
  <c r="D24" i="6"/>
  <c r="D21" i="7" s="1"/>
  <c r="E21" i="7" s="1"/>
  <c r="D13" i="6"/>
  <c r="D11" i="7" s="1"/>
  <c r="E11" i="7" s="1"/>
  <c r="D11" i="6"/>
  <c r="D9" i="7" s="1"/>
  <c r="E9" i="7" s="1"/>
  <c r="D17" i="6"/>
  <c r="Z15" i="1"/>
  <c r="Y14" i="1"/>
  <c r="AA14" i="1" s="1"/>
  <c r="J18" i="5" s="1"/>
  <c r="K19" i="5" s="1"/>
  <c r="L19" i="5" s="1"/>
  <c r="Y12" i="1"/>
  <c r="AA12" i="1" s="1"/>
  <c r="J14" i="5" s="1"/>
  <c r="K15" i="5" s="1"/>
  <c r="F13" i="6" s="1"/>
  <c r="K25" i="5"/>
  <c r="F24" i="6" s="1"/>
  <c r="Y13" i="1"/>
  <c r="AA13" i="1" s="1"/>
  <c r="J16" i="5" s="1"/>
  <c r="K17" i="5" s="1"/>
  <c r="K13" i="5"/>
  <c r="F11" i="6" s="1"/>
  <c r="U19" i="1"/>
  <c r="Y10" i="1" l="1"/>
  <c r="Y19" i="1" s="1"/>
  <c r="AA19" i="1" s="1"/>
  <c r="J27" i="5" s="1"/>
  <c r="K27" i="5" s="1"/>
  <c r="L27" i="5" s="1"/>
  <c r="V19" i="1"/>
  <c r="F18" i="4"/>
  <c r="H18" i="4" s="1"/>
  <c r="D27" i="5" s="1"/>
  <c r="E27" i="5" s="1"/>
  <c r="X19" i="1"/>
  <c r="Z19" i="1" s="1"/>
  <c r="K21" i="5"/>
  <c r="F19" i="6" s="1"/>
  <c r="D19" i="6"/>
  <c r="D17" i="7" s="1"/>
  <c r="E17" i="7" s="1"/>
  <c r="G13" i="6"/>
  <c r="I13" i="6" s="1"/>
  <c r="D15" i="7"/>
  <c r="E15" i="7" s="1"/>
  <c r="G17" i="6"/>
  <c r="I17" i="6" s="1"/>
  <c r="G24" i="6"/>
  <c r="I24" i="6" s="1"/>
  <c r="D8" i="6"/>
  <c r="D6" i="7" s="1"/>
  <c r="E6" i="7" s="1"/>
  <c r="I11" i="5"/>
  <c r="D9" i="6" s="1"/>
  <c r="G9" i="6" s="1"/>
  <c r="I9" i="6" s="1"/>
  <c r="F22" i="6"/>
  <c r="L23" i="5"/>
  <c r="E22" i="6" s="1"/>
  <c r="F15" i="6"/>
  <c r="L17" i="5"/>
  <c r="E15" i="6" s="1"/>
  <c r="F17" i="6"/>
  <c r="L15" i="5"/>
  <c r="E13" i="6" s="1"/>
  <c r="G11" i="6"/>
  <c r="I11" i="6" s="1"/>
  <c r="L13" i="5"/>
  <c r="E11" i="6" s="1"/>
  <c r="L25" i="5"/>
  <c r="E24" i="6" s="1"/>
  <c r="E17" i="6"/>
  <c r="L21" i="5" l="1"/>
  <c r="E19" i="6" s="1"/>
  <c r="AA10" i="1"/>
  <c r="J9" i="5" s="1"/>
  <c r="K10" i="5" s="1"/>
  <c r="L10" i="5" s="1"/>
  <c r="E8" i="6" s="1"/>
  <c r="G19" i="6"/>
  <c r="I19" i="6" s="1"/>
  <c r="G8" i="6"/>
  <c r="I8" i="6" s="1"/>
  <c r="D7" i="7"/>
  <c r="E7" i="7" s="1"/>
  <c r="K11" i="5" l="1"/>
  <c r="L11" i="5" s="1"/>
  <c r="E9" i="6" s="1"/>
  <c r="F8" i="6"/>
  <c r="F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Shuppy</author>
  </authors>
  <commentList>
    <comment ref="E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Brian Shuppy:</t>
        </r>
        <r>
          <rPr>
            <sz val="9"/>
            <color indexed="81"/>
            <rFont val="Tahoma"/>
            <family val="2"/>
          </rPr>
          <t xml:space="preserve">
Table 9</t>
        </r>
      </text>
    </comment>
  </commentList>
</comments>
</file>

<file path=xl/sharedStrings.xml><?xml version="1.0" encoding="utf-8"?>
<sst xmlns="http://schemas.openxmlformats.org/spreadsheetml/2006/main" count="224" uniqueCount="133">
  <si>
    <t>Utah System of Higher Education</t>
  </si>
  <si>
    <t>(a)</t>
  </si>
  <si>
    <t>(b)</t>
  </si>
  <si>
    <t>(c)</t>
  </si>
  <si>
    <t>(d)</t>
  </si>
  <si>
    <t>(e)</t>
  </si>
  <si>
    <t>(f)</t>
  </si>
  <si>
    <t xml:space="preserve">Vocational </t>
  </si>
  <si>
    <t>Lower Division</t>
  </si>
  <si>
    <t>Upper Division</t>
  </si>
  <si>
    <t>Total - Undergraduate</t>
  </si>
  <si>
    <t>Appropriated Full Cost of Instruction per Undergraduate FTE</t>
  </si>
  <si>
    <t>Summer EOT</t>
  </si>
  <si>
    <t>Annualized</t>
  </si>
  <si>
    <t>(b) + (c ) + (d)</t>
  </si>
  <si>
    <t>University of Utah</t>
  </si>
  <si>
    <t>Utah State University</t>
  </si>
  <si>
    <t>Weber State University</t>
  </si>
  <si>
    <t>All resident undergraduate students</t>
  </si>
  <si>
    <t>Southern Utah University</t>
  </si>
  <si>
    <t>Snow College</t>
  </si>
  <si>
    <t>Salt Lake Community College</t>
  </si>
  <si>
    <t>USHE Total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</si>
  <si>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</si>
  <si>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</si>
  <si>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</si>
  <si>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</si>
  <si>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</si>
  <si>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</si>
  <si>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</si>
  <si>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</si>
  <si>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</si>
  <si>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</si>
  <si>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</si>
  <si>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</si>
  <si>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(g) + (h) + (i)</t>
  </si>
  <si>
    <t>(e) / (j)</t>
  </si>
  <si>
    <t>Form R-1 Actual</t>
  </si>
  <si>
    <t>Undergraduate Net Tuition as % of Undergraduate Resident Full Cost of Instruction</t>
  </si>
  <si>
    <t>Estimated Undergraduate Resident Full Cost of Instruction</t>
  </si>
  <si>
    <t xml:space="preserve"> Undergrad. Res. Full Cost of Instruction from Tax Funds/Other Inst. Revenues</t>
  </si>
  <si>
    <t>Tax Funds for Full Cost of Instruction</t>
  </si>
  <si>
    <t>Other Institutional Sources for Full Cost of Instruction</t>
  </si>
  <si>
    <t>Tax Funds % of Full Cost of Instruction</t>
  </si>
  <si>
    <t>Other % of Full Cost of Instruction</t>
  </si>
  <si>
    <t>Appropriations Sideways Detail</t>
  </si>
  <si>
    <t>Schedule 2  - Estimated Report Year Full Cost of Instruction</t>
  </si>
  <si>
    <t>Most Recent Cost Study Undergraduate Resident Full Cost of Instruction % of Appropriated Expenditures</t>
  </si>
  <si>
    <t>Undergraduate Resident Full Cost of Instruction as % of Appropriated Expenditures</t>
  </si>
  <si>
    <t>Estimated Annual Full Cost of Instruction per FTE</t>
  </si>
  <si>
    <t>Schedule 1 - Undergraduate Resident Full Cost of Instruction by Source from Most Recent Cost Study</t>
  </si>
  <si>
    <t xml:space="preserve">Cost Study Year: </t>
  </si>
  <si>
    <t>(s)</t>
  </si>
  <si>
    <t>(t)</t>
  </si>
  <si>
    <t>(u)</t>
  </si>
  <si>
    <t>(v)</t>
  </si>
  <si>
    <t>(w)</t>
  </si>
  <si>
    <t>(x)</t>
  </si>
  <si>
    <t>(j) * (n)</t>
  </si>
  <si>
    <t>(o) / (a)</t>
  </si>
  <si>
    <t>(q) / (o)</t>
  </si>
  <si>
    <t>(o) - (q)</t>
  </si>
  <si>
    <t>lesser of (s) or (t)</t>
  </si>
  <si>
    <t>(u) / (o)</t>
  </si>
  <si>
    <t>(v) / (o)</t>
  </si>
  <si>
    <t>Schedule 1 (p)</t>
  </si>
  <si>
    <t>(a) * (b)</t>
  </si>
  <si>
    <t>(c) / (d)</t>
  </si>
  <si>
    <t>Schedule 2 (e)</t>
  </si>
  <si>
    <t>Schedule 3  - Full Cost of Instruction Distribution Estimates</t>
  </si>
  <si>
    <r>
      <t xml:space="preserve">Estimated </t>
    </r>
    <r>
      <rPr>
        <b/>
        <u/>
        <sz val="10"/>
        <rFont val="Arial Narrow"/>
        <family val="2"/>
      </rPr>
      <t xml:space="preserve">SEMESTER </t>
    </r>
    <r>
      <rPr>
        <sz val="10"/>
        <rFont val="Arial Narrow"/>
        <family val="2"/>
      </rPr>
      <t>Full Cost of Instruction per FTE</t>
    </r>
  </si>
  <si>
    <t>(a) / 2</t>
  </si>
  <si>
    <t xml:space="preserve">Calculated for the Year: </t>
  </si>
  <si>
    <t>Lower Division Resident</t>
  </si>
  <si>
    <t>Upper Division Resident</t>
  </si>
  <si>
    <t>Calculation Year Tuition - 15 credits 1 semester</t>
  </si>
  <si>
    <t>Calculation Year Fees - 15 credits 1 semester</t>
  </si>
  <si>
    <t>Calculation Year Tuition &amp; Fees - 15 credits 1 semester</t>
  </si>
  <si>
    <r>
      <t xml:space="preserve">Estimated </t>
    </r>
    <r>
      <rPr>
        <sz val="10"/>
        <rFont val="Arial Narrow"/>
        <family val="2"/>
      </rPr>
      <t xml:space="preserve">Semester </t>
    </r>
    <r>
      <rPr>
        <sz val="10"/>
        <rFont val="Arial Narrow"/>
        <family val="2"/>
      </rPr>
      <t xml:space="preserve">Full Cost of </t>
    </r>
    <r>
      <rPr>
        <b/>
        <u/>
        <sz val="10"/>
        <rFont val="Arial Narrow"/>
        <family val="2"/>
      </rPr>
      <t>INSTRUCTION AND FEES</t>
    </r>
    <r>
      <rPr>
        <sz val="10"/>
        <rFont val="Arial Narrow"/>
        <family val="2"/>
      </rPr>
      <t xml:space="preserve"> per FTE</t>
    </r>
  </si>
  <si>
    <t>% of Full Cost  from Other Inst Funds</t>
  </si>
  <si>
    <t>Schedule 1 (x)</t>
  </si>
  <si>
    <t>Other Funds Amount</t>
  </si>
  <si>
    <t>Tax Funds Amount</t>
  </si>
  <si>
    <t>(c )</t>
  </si>
  <si>
    <t>USHE Tuition file</t>
  </si>
  <si>
    <t>(c ) + (d)</t>
  </si>
  <si>
    <t>(f) - [(e) + (h)]</t>
  </si>
  <si>
    <t>Institution and Type of Undergraduate Resident Students</t>
  </si>
  <si>
    <t>Estimated Average Full Cost of Instruction and Fees</t>
  </si>
  <si>
    <t>ONE SEMESTER, 15 CREDIT HOURS</t>
  </si>
  <si>
    <t>Freshman and Sophomore</t>
  </si>
  <si>
    <t>Junior and Senior</t>
  </si>
  <si>
    <t>[(k)+(l)+(m)]
/2</t>
  </si>
  <si>
    <t xml:space="preserve">Estimated Other Institutional Sources </t>
  </si>
  <si>
    <t>(d) + (b)</t>
  </si>
  <si>
    <t>Fall
EOT</t>
  </si>
  <si>
    <t>Spring
EOT</t>
  </si>
  <si>
    <t>Utah Valley University</t>
  </si>
  <si>
    <t>Annualized  Budget-related Undergraduate Resident Enrollment, excluding School of Medicine, Snow ATE, and Skills Center</t>
  </si>
  <si>
    <t>Resident undergraduate Students (Logan/RCDE)</t>
  </si>
  <si>
    <t>Appropriated Full Cost of Instruction for Undergraduate Residents</t>
  </si>
  <si>
    <t>A-1 Actual</t>
  </si>
  <si>
    <t>Data Book, Tab I, Appropriated Cost Study</t>
  </si>
  <si>
    <t>End of Year Reports</t>
  </si>
  <si>
    <t>Appropriated Full Cost of Instruction by Level</t>
  </si>
  <si>
    <t xml:space="preserve"> Undergraduate Resident Net Tuition</t>
  </si>
  <si>
    <t>Total Tax Funds Appropriations (E&amp;G and USU Regionals)</t>
  </si>
  <si>
    <t>Appropriated FTE Enrollment by Level, excluding SLCC SAT and School of Medicine FTE</t>
  </si>
  <si>
    <r>
      <t xml:space="preserve">Undergraduate </t>
    </r>
    <r>
      <rPr>
        <b/>
        <sz val="10"/>
        <rFont val="Arial Narrow"/>
        <family val="2"/>
      </rPr>
      <t>Resident</t>
    </r>
    <r>
      <rPr>
        <sz val="10"/>
        <rFont val="Arial Narrow"/>
        <family val="2"/>
      </rPr>
      <t xml:space="preserve"> Budget-related FTE (Includes E&amp;G and USU Regionals)</t>
    </r>
  </si>
  <si>
    <t>Resident Tuition and Fees (Full "Sticker Price")</t>
  </si>
  <si>
    <r>
      <t>Estimated Support from State Tax Funds</t>
    </r>
    <r>
      <rPr>
        <b/>
        <sz val="10"/>
        <rFont val="Arial Narrow"/>
        <family val="2"/>
      </rPr>
      <t xml:space="preserve"> </t>
    </r>
  </si>
  <si>
    <t>Tuition and Fees % of Full Cost of Instruction and Fee Services</t>
  </si>
  <si>
    <r>
      <rPr>
        <b/>
        <i/>
        <sz val="10"/>
        <rFont val="Arial Narrow"/>
        <family val="2"/>
      </rPr>
      <t>THESE YEARS USED SLIGHTLY DIFFERENT ASSUMPTIONS FROM 2014</t>
    </r>
    <r>
      <rPr>
        <b/>
        <sz val="10"/>
        <rFont val="Arial Narrow"/>
        <family val="2"/>
      </rPr>
      <t xml:space="preserve">  Historical Summary--  Tuition and Fees % of Full Cost of Instruction and Fee Services</t>
    </r>
  </si>
  <si>
    <t xml:space="preserve"> </t>
  </si>
  <si>
    <t xml:space="preserve"> undergraduate instruction-related line items for USU (RCDE) and SLCC were included (SLCC's School of Applied Technology was excluded).</t>
  </si>
  <si>
    <r>
      <t>Appropriated Budget Expendtiures (Includes E&amp;G and USU Regionals)</t>
    </r>
    <r>
      <rPr>
        <vertAlign val="superscript"/>
        <sz val="10"/>
        <rFont val="Arial Narrow"/>
        <family val="2"/>
      </rPr>
      <t>1</t>
    </r>
  </si>
  <si>
    <t>if (u) &lt; (s), then (s) - (u)</t>
  </si>
  <si>
    <t>(f) * (g)</t>
  </si>
  <si>
    <t>*Methodology was changed on the Schedule 1 Tab for the 2014-15 year and subsequent years. Instead of including all appropriated expenditures, only E&amp;G line items and other undergraduate instruction-related line items for USU (RCDE) and SLCC were included (SLCC's School of Applied Technology was excluded).</t>
  </si>
  <si>
    <t>% Change*</t>
  </si>
  <si>
    <t>*Methodology was changed for the 2014-15 year and subsequent years. Instead of including all appropriated expenditures, only E&amp;G line items and other</t>
  </si>
  <si>
    <t xml:space="preserve">*Methodology was changed on the Schedule 1 Tab for the 2014-15 year and subsequent years. Instead of including all </t>
  </si>
  <si>
    <t xml:space="preserve">appropriated expenditures, only E&amp;G line items and other  undergraduate instruction-related line items for USU (RCDE) </t>
  </si>
  <si>
    <t>and SLCC were included (SLCC's School of Applied Technology was excluded).</t>
  </si>
  <si>
    <t>2014*</t>
  </si>
  <si>
    <t>Schedule 1 (n)</t>
  </si>
  <si>
    <t>2021-22</t>
  </si>
  <si>
    <t>2022-23</t>
  </si>
  <si>
    <t>Utah Tech University</t>
  </si>
  <si>
    <t>Appropriated Budget</t>
  </si>
  <si>
    <t>Undergraduate Resident Tuition and Cost Disclosure, FY 2023-24</t>
  </si>
  <si>
    <t>2023-24</t>
  </si>
  <si>
    <t>March 22,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</si>
</sst>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_)"/>
  </numFmts>
  <fonts count="38">
    <font>
      <sz val="10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u/>
      <sz val="10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 Unicode MS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26"/>
      <name val="Arial Narrow"/>
      <family val="2"/>
    </font>
    <font>
      <vertAlign val="superscript"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68">
    <xf numFmtId="0" fontId="0" fillId="0" borderId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3" fillId="2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>
      <alignment vertical="top"/>
    </xf>
    <xf numFmtId="4" fontId="24" fillId="2" borderId="0" applyFont="0" applyFill="0" applyBorder="0" applyAlignment="0" applyProtection="0"/>
    <xf numFmtId="3" fontId="24" fillId="2" borderId="0" applyFont="0" applyFill="0" applyBorder="0" applyAlignment="0" applyProtection="0"/>
    <xf numFmtId="7" fontId="24" fillId="2" borderId="0" applyFont="0" applyFill="0" applyBorder="0" applyAlignment="0" applyProtection="0"/>
    <xf numFmtId="5" fontId="24" fillId="2" borderId="0" applyFont="0" applyFill="0" applyBorder="0" applyAlignment="0" applyProtection="0"/>
    <xf numFmtId="0" fontId="24" fillId="2" borderId="0" applyFont="0" applyFill="0" applyBorder="0" applyAlignment="0" applyProtection="0"/>
    <xf numFmtId="2" fontId="24" fillId="2" borderId="0" applyFont="0" applyFill="0" applyBorder="0" applyAlignment="0" applyProtection="0"/>
    <xf numFmtId="0" fontId="22" fillId="2" borderId="0" applyFont="0" applyFill="0" applyBorder="0" applyAlignment="0" applyProtection="0"/>
    <xf numFmtId="0" fontId="23" fillId="2" borderId="0" applyFont="0" applyFill="0" applyBorder="0" applyAlignment="0" applyProtection="0"/>
    <xf numFmtId="0" fontId="24" fillId="2" borderId="0" applyFont="0" applyFill="0" applyBorder="0" applyAlignment="0" applyProtection="0"/>
    <xf numFmtId="0" fontId="13" fillId="0" borderId="0">
      <alignment vertical="top"/>
    </xf>
    <xf numFmtId="4" fontId="13" fillId="2" borderId="0" applyFont="0" applyFill="0" applyBorder="0" applyAlignment="0" applyProtection="0"/>
    <xf numFmtId="9" fontId="13" fillId="0" borderId="0" applyFont="0" applyFill="0" applyBorder="0" applyAlignment="0" applyProtection="0"/>
    <xf numFmtId="3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2" fontId="13" fillId="2" borderId="0" applyFont="0" applyFill="0" applyBorder="0" applyAlignment="0" applyProtection="0"/>
    <xf numFmtId="0" fontId="25" fillId="0" borderId="0"/>
    <xf numFmtId="3" fontId="13" fillId="5" borderId="0" applyFont="0" applyFill="0" applyBorder="0" applyAlignment="0" applyProtection="0"/>
    <xf numFmtId="0" fontId="13" fillId="0" borderId="0">
      <alignment vertical="top"/>
    </xf>
    <xf numFmtId="0" fontId="26" fillId="2" borderId="0" applyFont="0" applyFill="0" applyBorder="0" applyAlignment="0" applyProtection="0"/>
    <xf numFmtId="0" fontId="27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13" fillId="0" borderId="0">
      <alignment vertical="top"/>
    </xf>
    <xf numFmtId="3" fontId="13" fillId="2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9" fontId="13" fillId="0" borderId="0" applyFont="0" applyFill="0" applyBorder="0" applyAlignment="0" applyProtection="0"/>
    <xf numFmtId="0" fontId="28" fillId="0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4" fontId="13" fillId="2" borderId="0"/>
    <xf numFmtId="4" fontId="13" fillId="2" borderId="0" applyFont="0" applyFill="0" applyBorder="0" applyAlignment="0" applyProtection="0"/>
    <xf numFmtId="3" fontId="13" fillId="2" borderId="0"/>
    <xf numFmtId="3" fontId="13" fillId="2" borderId="0"/>
    <xf numFmtId="3" fontId="13" fillId="2" borderId="0"/>
    <xf numFmtId="3" fontId="13" fillId="2" borderId="0" applyFont="0" applyFill="0" applyBorder="0" applyAlignment="0" applyProtection="0"/>
    <xf numFmtId="5" fontId="13" fillId="2" borderId="0"/>
    <xf numFmtId="5" fontId="13" fillId="2" borderId="0"/>
    <xf numFmtId="5" fontId="13" fillId="2" borderId="0"/>
    <xf numFmtId="5" fontId="13" fillId="2" borderId="0" applyFont="0" applyFill="0" applyBorder="0" applyAlignment="0" applyProtection="0"/>
    <xf numFmtId="0" fontId="13" fillId="2" borderId="0"/>
    <xf numFmtId="0" fontId="13" fillId="2" borderId="0"/>
    <xf numFmtId="0" fontId="13" fillId="2" borderId="0"/>
    <xf numFmtId="0" fontId="13" fillId="2" borderId="0" applyFont="0" applyFill="0" applyBorder="0" applyAlignment="0" applyProtection="0"/>
    <xf numFmtId="2" fontId="13" fillId="2" borderId="0"/>
    <xf numFmtId="2" fontId="13" fillId="2" borderId="0"/>
    <xf numFmtId="2" fontId="13" fillId="2" borderId="0"/>
    <xf numFmtId="2" fontId="13" fillId="2" borderId="0" applyFont="0" applyFill="0" applyBorder="0" applyAlignment="0" applyProtection="0"/>
    <xf numFmtId="0" fontId="26" fillId="2" borderId="0"/>
    <xf numFmtId="0" fontId="27" fillId="2" borderId="0"/>
    <xf numFmtId="0" fontId="29" fillId="0" borderId="0" applyNumberFormat="0" applyFill="0" applyBorder="0" applyAlignment="0" applyProtection="0">
      <alignment vertical="top"/>
      <protection locked="0"/>
    </xf>
    <xf numFmtId="0" fontId="13" fillId="2" borderId="8"/>
    <xf numFmtId="0" fontId="13" fillId="2" borderId="8"/>
    <xf numFmtId="0" fontId="13" fillId="2" borderId="8"/>
    <xf numFmtId="0" fontId="13" fillId="2" borderId="0" applyFont="0" applyFill="0" applyBorder="0" applyAlignment="0" applyProtection="0"/>
    <xf numFmtId="0" fontId="13" fillId="2" borderId="0"/>
    <xf numFmtId="0" fontId="13" fillId="2" borderId="0"/>
    <xf numFmtId="0" fontId="13" fillId="2" borderId="0"/>
    <xf numFmtId="0" fontId="13" fillId="2" borderId="0"/>
    <xf numFmtId="4" fontId="13" fillId="2" borderId="0" applyFont="0" applyFill="0" applyBorder="0" applyAlignment="0" applyProtection="0"/>
    <xf numFmtId="3" fontId="13" fillId="2" borderId="0"/>
    <xf numFmtId="3" fontId="13" fillId="2" borderId="0"/>
    <xf numFmtId="3" fontId="13" fillId="2" borderId="0" applyFont="0" applyFill="0" applyBorder="0" applyAlignment="0" applyProtection="0"/>
    <xf numFmtId="5" fontId="13" fillId="2" borderId="0"/>
    <xf numFmtId="5" fontId="13" fillId="2" borderId="0"/>
    <xf numFmtId="5" fontId="13" fillId="2" borderId="0" applyFont="0" applyFill="0" applyBorder="0" applyAlignment="0" applyProtection="0"/>
    <xf numFmtId="0" fontId="13" fillId="2" borderId="0"/>
    <xf numFmtId="0" fontId="13" fillId="2" borderId="0"/>
    <xf numFmtId="0" fontId="13" fillId="2" borderId="0" applyFont="0" applyFill="0" applyBorder="0" applyAlignment="0" applyProtection="0"/>
    <xf numFmtId="2" fontId="13" fillId="2" borderId="0"/>
    <xf numFmtId="2" fontId="13" fillId="2" borderId="0"/>
    <xf numFmtId="2" fontId="13" fillId="2" borderId="0" applyFont="0" applyFill="0" applyBorder="0" applyAlignment="0" applyProtection="0"/>
    <xf numFmtId="0" fontId="13" fillId="2" borderId="8"/>
    <xf numFmtId="0" fontId="13" fillId="2" borderId="8"/>
    <xf numFmtId="0" fontId="13" fillId="2" borderId="0" applyFont="0" applyFill="0" applyBorder="0" applyAlignment="0" applyProtection="0"/>
    <xf numFmtId="0" fontId="13" fillId="2" borderId="0"/>
    <xf numFmtId="0" fontId="13" fillId="2" borderId="0"/>
    <xf numFmtId="0" fontId="13" fillId="2" borderId="0"/>
    <xf numFmtId="0" fontId="13" fillId="2" borderId="0"/>
    <xf numFmtId="3" fontId="13" fillId="2" borderId="0"/>
    <xf numFmtId="3" fontId="13" fillId="2" borderId="0"/>
    <xf numFmtId="5" fontId="13" fillId="2" borderId="0"/>
    <xf numFmtId="5" fontId="13" fillId="2" borderId="0"/>
    <xf numFmtId="0" fontId="13" fillId="2" borderId="0"/>
    <xf numFmtId="0" fontId="13" fillId="2" borderId="0"/>
    <xf numFmtId="2" fontId="13" fillId="2" borderId="0"/>
    <xf numFmtId="2" fontId="13" fillId="2" borderId="0"/>
    <xf numFmtId="0" fontId="13" fillId="2" borderId="8"/>
    <xf numFmtId="0" fontId="13" fillId="2" borderId="8"/>
    <xf numFmtId="0" fontId="13" fillId="0" borderId="0"/>
    <xf numFmtId="0" fontId="13" fillId="0" borderId="0">
      <alignment vertical="top"/>
    </xf>
    <xf numFmtId="43" fontId="3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21" fillId="2" borderId="0" applyFont="0" applyFill="0" applyBorder="0" applyAlignment="0" applyProtection="0"/>
    <xf numFmtId="3" fontId="21" fillId="2" borderId="0" applyFont="0" applyFill="0" applyBorder="0" applyAlignment="0" applyProtection="0"/>
    <xf numFmtId="7" fontId="21" fillId="2" borderId="0" applyFont="0" applyFill="0" applyBorder="0" applyAlignment="0" applyProtection="0"/>
    <xf numFmtId="5" fontId="21" fillId="2" borderId="0" applyFont="0" applyFill="0" applyBorder="0" applyAlignment="0" applyProtection="0"/>
    <xf numFmtId="0" fontId="21" fillId="2" borderId="0" applyFont="0" applyFill="0" applyBorder="0" applyAlignment="0" applyProtection="0"/>
    <xf numFmtId="2" fontId="21" fillId="2" borderId="0" applyFont="0" applyFill="0" applyBorder="0" applyAlignment="0" applyProtection="0"/>
    <xf numFmtId="0" fontId="21" fillId="2" borderId="0" applyFont="0" applyFill="0" applyBorder="0" applyAlignment="0" applyProtection="0"/>
    <xf numFmtId="0" fontId="4" fillId="0" borderId="0"/>
    <xf numFmtId="0" fontId="13" fillId="0" borderId="0"/>
    <xf numFmtId="0" fontId="3" fillId="0" borderId="0"/>
    <xf numFmtId="43" fontId="6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167" fontId="21" fillId="0" borderId="0"/>
    <xf numFmtId="43" fontId="21" fillId="0" borderId="0" applyFont="0" applyFill="0" applyBorder="0" applyAlignment="0" applyProtection="0"/>
    <xf numFmtId="5" fontId="13" fillId="2" borderId="0" applyFont="0" applyFill="0" applyBorder="0" applyAlignment="0" applyProtection="0"/>
    <xf numFmtId="0" fontId="13" fillId="0" borderId="0"/>
    <xf numFmtId="3" fontId="13" fillId="2" borderId="0"/>
    <xf numFmtId="0" fontId="13" fillId="0" borderId="0">
      <alignment vertical="top"/>
    </xf>
    <xf numFmtId="0" fontId="13" fillId="2" borderId="0" applyFont="0" applyFill="0" applyBorder="0" applyAlignment="0" applyProtection="0"/>
    <xf numFmtId="5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2" fontId="13" fillId="2" borderId="0" applyFont="0" applyFill="0" applyBorder="0" applyAlignment="0" applyProtection="0"/>
    <xf numFmtId="0" fontId="13" fillId="0" borderId="0"/>
    <xf numFmtId="0" fontId="13" fillId="0" borderId="0"/>
    <xf numFmtId="4" fontId="13" fillId="2" borderId="0" applyFont="0" applyFill="0" applyBorder="0" applyAlignment="0" applyProtection="0"/>
    <xf numFmtId="0" fontId="26" fillId="2" borderId="0" applyFont="0" applyFill="0" applyBorder="0" applyAlignment="0" applyProtection="0"/>
    <xf numFmtId="0" fontId="27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13" fillId="0" borderId="0"/>
    <xf numFmtId="5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2" fontId="13" fillId="2" borderId="0" applyFont="0" applyFill="0" applyBorder="0" applyAlignment="0" applyProtection="0"/>
    <xf numFmtId="0" fontId="26" fillId="2" borderId="0" applyFont="0" applyFill="0" applyBorder="0" applyAlignment="0" applyProtection="0"/>
    <xf numFmtId="0" fontId="27" fillId="2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3" fillId="0" borderId="0">
      <alignment vertical="top"/>
    </xf>
  </cellStyleXfs>
  <cellXfs count="121">
    <xf numFmtId="0" fontId="0" fillId="0" borderId="0" xfId="0"/>
    <xf numFmtId="0" fontId="7" fillId="0" borderId="1" xfId="0" applyFont="1" applyBorder="1"/>
    <xf numFmtId="0" fontId="8" fillId="0" borderId="0" xfId="0" applyFont="1"/>
    <xf numFmtId="0" fontId="0" fillId="0" borderId="1" xfId="0" applyBorder="1"/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vertical="top"/>
    </xf>
    <xf numFmtId="0" fontId="10" fillId="0" borderId="0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0" xfId="0" applyFont="1" applyFill="1"/>
    <xf numFmtId="6" fontId="11" fillId="0" borderId="0" xfId="0" applyNumberFormat="1" applyFont="1" applyFill="1"/>
    <xf numFmtId="6" fontId="0" fillId="0" borderId="0" xfId="0" applyNumberFormat="1"/>
    <xf numFmtId="10" fontId="0" fillId="0" borderId="0" xfId="11" applyNumberFormat="1" applyFont="1"/>
    <xf numFmtId="38" fontId="0" fillId="0" borderId="0" xfId="0" applyNumberFormat="1"/>
    <xf numFmtId="10" fontId="6" fillId="0" borderId="0" xfId="11" applyNumberFormat="1"/>
    <xf numFmtId="0" fontId="15" fillId="0" borderId="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6" fontId="11" fillId="0" borderId="4" xfId="0" applyNumberFormat="1" applyFont="1" applyFill="1" applyBorder="1"/>
    <xf numFmtId="6" fontId="0" fillId="0" borderId="4" xfId="0" applyNumberFormat="1" applyBorder="1"/>
    <xf numFmtId="38" fontId="0" fillId="0" borderId="4" xfId="0" applyNumberFormat="1" applyBorder="1"/>
    <xf numFmtId="10" fontId="0" fillId="0" borderId="4" xfId="11" applyNumberFormat="1" applyFont="1" applyBorder="1"/>
    <xf numFmtId="10" fontId="6" fillId="0" borderId="4" xfId="11" applyNumberFormat="1" applyBorder="1"/>
    <xf numFmtId="10" fontId="0" fillId="0" borderId="0" xfId="0" applyNumberFormat="1"/>
    <xf numFmtId="0" fontId="14" fillId="0" borderId="2" xfId="0" applyFont="1" applyFill="1" applyBorder="1" applyAlignment="1">
      <alignment horizontal="center" wrapText="1"/>
    </xf>
    <xf numFmtId="0" fontId="17" fillId="0" borderId="0" xfId="0" applyFont="1" applyFill="1"/>
    <xf numFmtId="6" fontId="11" fillId="0" borderId="0" xfId="0" applyNumberFormat="1" applyFont="1" applyFill="1" applyAlignment="1">
      <alignment horizontal="right"/>
    </xf>
    <xf numFmtId="9" fontId="11" fillId="0" borderId="0" xfId="11" applyFont="1" applyFill="1"/>
    <xf numFmtId="0" fontId="0" fillId="0" borderId="0" xfId="0" applyFill="1"/>
    <xf numFmtId="9" fontId="0" fillId="0" borderId="0" xfId="0" applyNumberFormat="1"/>
    <xf numFmtId="0" fontId="14" fillId="3" borderId="5" xfId="0" applyFont="1" applyFill="1" applyBorder="1" applyAlignment="1">
      <alignment horizontal="center"/>
    </xf>
    <xf numFmtId="9" fontId="0" fillId="0" borderId="0" xfId="11" applyFont="1"/>
    <xf numFmtId="9" fontId="11" fillId="0" borderId="0" xfId="12" applyFont="1" applyFill="1"/>
    <xf numFmtId="0" fontId="14" fillId="0" borderId="0" xfId="0" applyFont="1" applyAlignment="1">
      <alignment horizontal="center"/>
    </xf>
    <xf numFmtId="0" fontId="11" fillId="0" borderId="0" xfId="4" applyFont="1" applyFill="1"/>
    <xf numFmtId="0" fontId="17" fillId="0" borderId="0" xfId="4" applyFont="1" applyFill="1"/>
    <xf numFmtId="0" fontId="11" fillId="0" borderId="0" xfId="6" applyFont="1" applyFill="1"/>
    <xf numFmtId="6" fontId="11" fillId="0" borderId="0" xfId="6" applyNumberFormat="1" applyFont="1" applyFill="1"/>
    <xf numFmtId="0" fontId="14" fillId="0" borderId="0" xfId="8" applyFont="1" applyFill="1" applyBorder="1" applyAlignment="1">
      <alignment horizontal="center" wrapText="1"/>
    </xf>
    <xf numFmtId="164" fontId="0" fillId="0" borderId="0" xfId="1" applyNumberFormat="1" applyFont="1"/>
    <xf numFmtId="0" fontId="11" fillId="0" borderId="0" xfId="10" applyFont="1" applyFill="1"/>
    <xf numFmtId="9" fontId="11" fillId="0" borderId="0" xfId="14" applyFont="1" applyFill="1"/>
    <xf numFmtId="38" fontId="0" fillId="0" borderId="4" xfId="0" applyNumberFormat="1" applyFill="1" applyBorder="1"/>
    <xf numFmtId="6" fontId="0" fillId="0" borderId="4" xfId="0" applyNumberFormat="1" applyFill="1" applyBorder="1"/>
    <xf numFmtId="0" fontId="6" fillId="0" borderId="2" xfId="0" applyFont="1" applyBorder="1" applyAlignment="1">
      <alignment horizontal="center" wrapText="1"/>
    </xf>
    <xf numFmtId="0" fontId="30" fillId="0" borderId="0" xfId="0" applyFont="1"/>
    <xf numFmtId="38" fontId="0" fillId="0" borderId="0" xfId="0" applyNumberFormat="1" applyFill="1"/>
    <xf numFmtId="165" fontId="0" fillId="0" borderId="0" xfId="0" applyNumberFormat="1"/>
    <xf numFmtId="6" fontId="0" fillId="0" borderId="13" xfId="0" applyNumberFormat="1" applyBorder="1"/>
    <xf numFmtId="38" fontId="0" fillId="0" borderId="15" xfId="0" applyNumberFormat="1" applyBorder="1"/>
    <xf numFmtId="38" fontId="0" fillId="0" borderId="18" xfId="0" applyNumberFormat="1" applyBorder="1"/>
    <xf numFmtId="38" fontId="0" fillId="0" borderId="13" xfId="0" applyNumberFormat="1" applyBorder="1"/>
    <xf numFmtId="6" fontId="0" fillId="0" borderId="19" xfId="0" applyNumberFormat="1" applyBorder="1"/>
    <xf numFmtId="38" fontId="0" fillId="0" borderId="20" xfId="0" applyNumberFormat="1" applyBorder="1"/>
    <xf numFmtId="38" fontId="0" fillId="0" borderId="21" xfId="0" applyNumberFormat="1" applyBorder="1"/>
    <xf numFmtId="0" fontId="6" fillId="0" borderId="0" xfId="0" applyFont="1" applyFill="1"/>
    <xf numFmtId="0" fontId="6" fillId="0" borderId="0" xfId="0" applyFont="1"/>
    <xf numFmtId="0" fontId="14" fillId="0" borderId="0" xfId="0" quotePrefix="1" applyFont="1" applyAlignment="1">
      <alignment horizontal="center"/>
    </xf>
    <xf numFmtId="6" fontId="6" fillId="0" borderId="0" xfId="0" applyNumberFormat="1" applyFont="1" applyFill="1"/>
    <xf numFmtId="0" fontId="0" fillId="0" borderId="1" xfId="0" applyFill="1" applyBorder="1"/>
    <xf numFmtId="5" fontId="0" fillId="0" borderId="0" xfId="1" applyNumberFormat="1" applyFont="1"/>
    <xf numFmtId="3" fontId="0" fillId="0" borderId="0" xfId="0" applyNumberFormat="1"/>
    <xf numFmtId="0" fontId="9" fillId="0" borderId="0" xfId="0" applyFont="1" applyFill="1"/>
    <xf numFmtId="0" fontId="9" fillId="0" borderId="0" xfId="0" applyFont="1"/>
    <xf numFmtId="6" fontId="9" fillId="0" borderId="0" xfId="0" applyNumberFormat="1" applyFont="1" applyFill="1"/>
    <xf numFmtId="166" fontId="9" fillId="0" borderId="0" xfId="110" applyNumberFormat="1" applyFont="1" applyFill="1"/>
    <xf numFmtId="0" fontId="33" fillId="0" borderId="22" xfId="8" applyFont="1" applyFill="1" applyBorder="1" applyAlignment="1">
      <alignment horizontal="left"/>
    </xf>
    <xf numFmtId="0" fontId="6" fillId="0" borderId="0" xfId="114" applyFont="1" applyFill="1"/>
    <xf numFmtId="9" fontId="6" fillId="0" borderId="0" xfId="11" applyFont="1" applyFill="1"/>
    <xf numFmtId="0" fontId="34" fillId="0" borderId="0" xfId="0" applyFont="1"/>
    <xf numFmtId="0" fontId="7" fillId="0" borderId="1" xfId="0" applyFont="1" applyFill="1" applyBorder="1"/>
    <xf numFmtId="0" fontId="8" fillId="0" borderId="0" xfId="0" applyFont="1" applyFill="1"/>
    <xf numFmtId="0" fontId="0" fillId="0" borderId="0" xfId="0" applyFill="1" applyAlignment="1">
      <alignment vertical="top"/>
    </xf>
    <xf numFmtId="165" fontId="0" fillId="0" borderId="0" xfId="11" applyNumberFormat="1" applyFont="1"/>
    <xf numFmtId="49" fontId="17" fillId="0" borderId="1" xfId="0" quotePrefix="1" applyNumberFormat="1" applyFont="1" applyBorder="1" applyAlignment="1">
      <alignment horizontal="right"/>
    </xf>
    <xf numFmtId="9" fontId="35" fillId="0" borderId="0" xfId="11" applyFont="1"/>
    <xf numFmtId="6" fontId="35" fillId="3" borderId="0" xfId="0" applyNumberFormat="1" applyFont="1" applyFill="1"/>
    <xf numFmtId="0" fontId="35" fillId="3" borderId="0" xfId="0" applyFont="1" applyFill="1"/>
    <xf numFmtId="38" fontId="6" fillId="0" borderId="15" xfId="0" applyNumberFormat="1" applyFont="1" applyBorder="1"/>
    <xf numFmtId="38" fontId="6" fillId="0" borderId="18" xfId="0" applyNumberFormat="1" applyFont="1" applyBorder="1"/>
    <xf numFmtId="166" fontId="0" fillId="0" borderId="0" xfId="110" applyNumberFormat="1" applyFont="1"/>
    <xf numFmtId="0" fontId="0" fillId="0" borderId="2" xfId="0" applyFill="1" applyBorder="1" applyAlignment="1">
      <alignment horizontal="center" wrapText="1"/>
    </xf>
    <xf numFmtId="9" fontId="6" fillId="0" borderId="0" xfId="11" applyFont="1"/>
    <xf numFmtId="8" fontId="0" fillId="0" borderId="0" xfId="0" applyNumberFormat="1"/>
    <xf numFmtId="0" fontId="14" fillId="0" borderId="0" xfId="0" applyFont="1"/>
    <xf numFmtId="38" fontId="35" fillId="3" borderId="14" xfId="0" applyNumberFormat="1" applyFont="1" applyFill="1" applyBorder="1"/>
    <xf numFmtId="38" fontId="35" fillId="3" borderId="0" xfId="0" applyNumberFormat="1" applyFont="1" applyFill="1" applyBorder="1"/>
    <xf numFmtId="38" fontId="35" fillId="3" borderId="16" xfId="0" applyNumberFormat="1" applyFont="1" applyFill="1" applyBorder="1"/>
    <xf numFmtId="38" fontId="35" fillId="3" borderId="17" xfId="0" applyNumberFormat="1" applyFont="1" applyFill="1" applyBorder="1"/>
    <xf numFmtId="6" fontId="6" fillId="3" borderId="0" xfId="0" applyNumberFormat="1" applyFont="1" applyFill="1"/>
    <xf numFmtId="38" fontId="6" fillId="3" borderId="0" xfId="0" applyNumberFormat="1" applyFont="1" applyFill="1"/>
    <xf numFmtId="6" fontId="6" fillId="3" borderId="12" xfId="0" applyNumberFormat="1" applyFont="1" applyFill="1" applyBorder="1"/>
    <xf numFmtId="6" fontId="6" fillId="3" borderId="3" xfId="0" applyNumberFormat="1" applyFont="1" applyFill="1" applyBorder="1"/>
    <xf numFmtId="38" fontId="6" fillId="3" borderId="12" xfId="0" applyNumberFormat="1" applyFont="1" applyFill="1" applyBorder="1"/>
    <xf numFmtId="38" fontId="6" fillId="3" borderId="3" xfId="0" applyNumberFormat="1" applyFont="1" applyFill="1" applyBorder="1"/>
    <xf numFmtId="38" fontId="6" fillId="3" borderId="14" xfId="0" applyNumberFormat="1" applyFont="1" applyFill="1" applyBorder="1"/>
    <xf numFmtId="38" fontId="6" fillId="3" borderId="0" xfId="0" applyNumberFormat="1" applyFont="1" applyFill="1" applyBorder="1"/>
    <xf numFmtId="38" fontId="6" fillId="3" borderId="16" xfId="0" applyNumberFormat="1" applyFont="1" applyFill="1" applyBorder="1"/>
    <xf numFmtId="38" fontId="6" fillId="3" borderId="17" xfId="0" applyNumberFormat="1" applyFont="1" applyFill="1" applyBorder="1"/>
    <xf numFmtId="38" fontId="6" fillId="6" borderId="15" xfId="0" applyNumberFormat="1" applyFont="1" applyFill="1" applyBorder="1"/>
    <xf numFmtId="38" fontId="35" fillId="3" borderId="12" xfId="0" applyNumberFormat="1" applyFont="1" applyFill="1" applyBorder="1"/>
    <xf numFmtId="38" fontId="35" fillId="3" borderId="3" xfId="0" applyNumberFormat="1" applyFont="1" applyFill="1" applyBorder="1"/>
    <xf numFmtId="38" fontId="6" fillId="6" borderId="13" xfId="0" applyNumberFormat="1" applyFont="1" applyFill="1" applyBorder="1"/>
    <xf numFmtId="38" fontId="6" fillId="6" borderId="18" xfId="0" applyNumberFormat="1" applyFont="1" applyFill="1" applyBorder="1"/>
    <xf numFmtId="5" fontId="6" fillId="3" borderId="0" xfId="1" applyNumberFormat="1" applyFont="1" applyFill="1"/>
    <xf numFmtId="166" fontId="6" fillId="3" borderId="0" xfId="110" applyNumberFormat="1" applyFont="1" applyFill="1"/>
    <xf numFmtId="0" fontId="14" fillId="0" borderId="2" xfId="0" applyFont="1" applyFill="1" applyBorder="1" applyAlignment="1">
      <alignment horizontal="center" wrapText="1"/>
    </xf>
    <xf numFmtId="0" fontId="1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left" vertical="top" wrapText="1"/>
    </xf>
  </cellXfs>
  <cellStyles count="168">
    <cellStyle name="Black/Formula" xfId="43" xr:uid="{00000000-0005-0000-0000-000000000000}"/>
    <cellStyle name="Black/Formula 2" xfId="44" xr:uid="{00000000-0005-0000-0000-000001000000}"/>
    <cellStyle name="Black/Formula 2 2" xfId="74" xr:uid="{00000000-0005-0000-0000-000002000000}"/>
    <cellStyle name="Black/Formula 2 3" xfId="94" xr:uid="{00000000-0005-0000-0000-000003000000}"/>
    <cellStyle name="Black/Formula 3" xfId="45" xr:uid="{00000000-0005-0000-0000-000004000000}"/>
    <cellStyle name="Black/Formula 3 2" xfId="75" xr:uid="{00000000-0005-0000-0000-000005000000}"/>
    <cellStyle name="Black/Formula 3 3" xfId="95" xr:uid="{00000000-0005-0000-0000-000006000000}"/>
    <cellStyle name="Blue/Input" xfId="46" xr:uid="{00000000-0005-0000-0000-000007000000}"/>
    <cellStyle name="Blue/Input 2" xfId="47" xr:uid="{00000000-0005-0000-0000-000008000000}"/>
    <cellStyle name="Blue/Input 2 2" xfId="76" xr:uid="{00000000-0005-0000-0000-000009000000}"/>
    <cellStyle name="Blue/Input 2 3" xfId="96" xr:uid="{00000000-0005-0000-0000-00000A000000}"/>
    <cellStyle name="Blue/Input 3" xfId="48" xr:uid="{00000000-0005-0000-0000-00000B000000}"/>
    <cellStyle name="Blue/Input 3 2" xfId="77" xr:uid="{00000000-0005-0000-0000-00000C000000}"/>
    <cellStyle name="Blue/Input 3 3" xfId="97" xr:uid="{00000000-0005-0000-0000-00000D000000}"/>
    <cellStyle name="Comma" xfId="110" builtinId="3"/>
    <cellStyle name="Comma 2" xfId="16" xr:uid="{00000000-0005-0000-0000-00000F000000}"/>
    <cellStyle name="Comma 2 2" xfId="39" xr:uid="{00000000-0005-0000-0000-000010000000}"/>
    <cellStyle name="Comma 2 3" xfId="123" xr:uid="{00000000-0005-0000-0000-000011000000}"/>
    <cellStyle name="Comma 2 4" xfId="154" xr:uid="{00000000-0005-0000-0000-000000000000}"/>
    <cellStyle name="Comma 3" xfId="26" xr:uid="{00000000-0005-0000-0000-000012000000}"/>
    <cellStyle name="Comma 4" xfId="50" xr:uid="{00000000-0005-0000-0000-000013000000}"/>
    <cellStyle name="Comma 4 2" xfId="78" xr:uid="{00000000-0005-0000-0000-000014000000}"/>
    <cellStyle name="Comma 5" xfId="49" xr:uid="{00000000-0005-0000-0000-000015000000}"/>
    <cellStyle name="Comma 6" xfId="133" xr:uid="{00000000-0005-0000-0000-000016000000}"/>
    <cellStyle name="Comma 7" xfId="143" xr:uid="{00000000-0005-0000-0000-000017000000}"/>
    <cellStyle name="Comma0" xfId="17" xr:uid="{00000000-0005-0000-0000-000018000000}"/>
    <cellStyle name="Comma0 2" xfId="32" xr:uid="{00000000-0005-0000-0000-000019000000}"/>
    <cellStyle name="Comma0 2 2" xfId="38" xr:uid="{00000000-0005-0000-0000-00001A000000}"/>
    <cellStyle name="Comma0 2 2 2" xfId="79" xr:uid="{00000000-0005-0000-0000-00001B000000}"/>
    <cellStyle name="Comma0 2 3" xfId="98" xr:uid="{00000000-0005-0000-0000-00001C000000}"/>
    <cellStyle name="Comma0 2 4" xfId="52" xr:uid="{00000000-0005-0000-0000-00001D000000}"/>
    <cellStyle name="Comma0 3" xfId="28" xr:uid="{00000000-0005-0000-0000-00001E000000}"/>
    <cellStyle name="Comma0 3 2" xfId="80" xr:uid="{00000000-0005-0000-0000-00001F000000}"/>
    <cellStyle name="Comma0 3 3" xfId="99" xr:uid="{00000000-0005-0000-0000-000020000000}"/>
    <cellStyle name="Comma0 3 4" xfId="53" xr:uid="{00000000-0005-0000-0000-000021000000}"/>
    <cellStyle name="Comma0 4" xfId="54" xr:uid="{00000000-0005-0000-0000-000022000000}"/>
    <cellStyle name="Comma0 4 2" xfId="81" xr:uid="{00000000-0005-0000-0000-000023000000}"/>
    <cellStyle name="Comma0 5" xfId="51" xr:uid="{00000000-0005-0000-0000-000024000000}"/>
    <cellStyle name="Comma0 6" xfId="124" xr:uid="{00000000-0005-0000-0000-000025000000}"/>
    <cellStyle name="Comma0_I1 Instructions" xfId="146" xr:uid="{00000000-0005-0000-0000-000006000000}"/>
    <cellStyle name="Currency" xfId="1" builtinId="4"/>
    <cellStyle name="Currency 2" xfId="2" xr:uid="{00000000-0005-0000-0000-000027000000}"/>
    <cellStyle name="Currency 2 2" xfId="112" xr:uid="{00000000-0005-0000-0000-000028000000}"/>
    <cellStyle name="Currency 3" xfId="18" xr:uid="{00000000-0005-0000-0000-000029000000}"/>
    <cellStyle name="Currency 3 2" xfId="125" xr:uid="{00000000-0005-0000-0000-00002A000000}"/>
    <cellStyle name="Currency 4" xfId="140" xr:uid="{00000000-0005-0000-0000-00002B000000}"/>
    <cellStyle name="Currency0" xfId="3" xr:uid="{00000000-0005-0000-0000-00002C000000}"/>
    <cellStyle name="Currency0 2" xfId="19" xr:uid="{00000000-0005-0000-0000-00002D000000}"/>
    <cellStyle name="Currency0 2 2" xfId="82" xr:uid="{00000000-0005-0000-0000-00002E000000}"/>
    <cellStyle name="Currency0 2 2 2" xfId="149" xr:uid="{00000000-0005-0000-0000-000009000000}"/>
    <cellStyle name="Currency0 2 3" xfId="100" xr:uid="{00000000-0005-0000-0000-00002F000000}"/>
    <cellStyle name="Currency0 2 4" xfId="56" xr:uid="{00000000-0005-0000-0000-000030000000}"/>
    <cellStyle name="Currency0 2 5" xfId="126" xr:uid="{00000000-0005-0000-0000-000031000000}"/>
    <cellStyle name="Currency0 2 6" xfId="144" xr:uid="{00000000-0005-0000-0000-000008000000}"/>
    <cellStyle name="Currency0 3" xfId="57" xr:uid="{00000000-0005-0000-0000-000032000000}"/>
    <cellStyle name="Currency0 3 2" xfId="83" xr:uid="{00000000-0005-0000-0000-000033000000}"/>
    <cellStyle name="Currency0 3 3" xfId="101" xr:uid="{00000000-0005-0000-0000-000034000000}"/>
    <cellStyle name="Currency0 3 4" xfId="159" xr:uid="{00000000-0005-0000-0000-00000A000000}"/>
    <cellStyle name="Currency0 4" xfId="58" xr:uid="{00000000-0005-0000-0000-000035000000}"/>
    <cellStyle name="Currency0 4 2" xfId="84" xr:uid="{00000000-0005-0000-0000-000036000000}"/>
    <cellStyle name="Currency0 5" xfId="55" xr:uid="{00000000-0005-0000-0000-000037000000}"/>
    <cellStyle name="Date" xfId="20" xr:uid="{00000000-0005-0000-0000-000038000000}"/>
    <cellStyle name="Date 2" xfId="29" xr:uid="{00000000-0005-0000-0000-000039000000}"/>
    <cellStyle name="Date 2 2" xfId="85" xr:uid="{00000000-0005-0000-0000-00003A000000}"/>
    <cellStyle name="Date 2 2 2" xfId="150" xr:uid="{00000000-0005-0000-0000-00000E000000}"/>
    <cellStyle name="Date 2 3" xfId="102" xr:uid="{00000000-0005-0000-0000-00003B000000}"/>
    <cellStyle name="Date 2 4" xfId="60" xr:uid="{00000000-0005-0000-0000-00003C000000}"/>
    <cellStyle name="Date 3" xfId="61" xr:uid="{00000000-0005-0000-0000-00003D000000}"/>
    <cellStyle name="Date 3 2" xfId="86" xr:uid="{00000000-0005-0000-0000-00003E000000}"/>
    <cellStyle name="Date 3 3" xfId="103" xr:uid="{00000000-0005-0000-0000-00003F000000}"/>
    <cellStyle name="Date 3 4" xfId="160" xr:uid="{00000000-0005-0000-0000-00000F000000}"/>
    <cellStyle name="Date 4" xfId="62" xr:uid="{00000000-0005-0000-0000-000040000000}"/>
    <cellStyle name="Date 4 2" xfId="87" xr:uid="{00000000-0005-0000-0000-000041000000}"/>
    <cellStyle name="Date 5" xfId="59" xr:uid="{00000000-0005-0000-0000-000042000000}"/>
    <cellStyle name="Date 6" xfId="127" xr:uid="{00000000-0005-0000-0000-000043000000}"/>
    <cellStyle name="Fixed" xfId="21" xr:uid="{00000000-0005-0000-0000-000044000000}"/>
    <cellStyle name="Fixed 2" xfId="30" xr:uid="{00000000-0005-0000-0000-000045000000}"/>
    <cellStyle name="Fixed 2 2" xfId="88" xr:uid="{00000000-0005-0000-0000-000046000000}"/>
    <cellStyle name="Fixed 2 2 2" xfId="151" xr:uid="{00000000-0005-0000-0000-000014000000}"/>
    <cellStyle name="Fixed 2 3" xfId="104" xr:uid="{00000000-0005-0000-0000-000047000000}"/>
    <cellStyle name="Fixed 2 4" xfId="64" xr:uid="{00000000-0005-0000-0000-000048000000}"/>
    <cellStyle name="Fixed 3" xfId="65" xr:uid="{00000000-0005-0000-0000-000049000000}"/>
    <cellStyle name="Fixed 3 2" xfId="89" xr:uid="{00000000-0005-0000-0000-00004A000000}"/>
    <cellStyle name="Fixed 3 3" xfId="105" xr:uid="{00000000-0005-0000-0000-00004B000000}"/>
    <cellStyle name="Fixed 3 4" xfId="161" xr:uid="{00000000-0005-0000-0000-000015000000}"/>
    <cellStyle name="Fixed 4" xfId="66" xr:uid="{00000000-0005-0000-0000-00004C000000}"/>
    <cellStyle name="Fixed 4 2" xfId="90" xr:uid="{00000000-0005-0000-0000-00004D000000}"/>
    <cellStyle name="Fixed 5" xfId="63" xr:uid="{00000000-0005-0000-0000-00004E000000}"/>
    <cellStyle name="Fixed 6" xfId="128" xr:uid="{00000000-0005-0000-0000-00004F000000}"/>
    <cellStyle name="Heading 1 2" xfId="22" xr:uid="{00000000-0005-0000-0000-000050000000}"/>
    <cellStyle name="Heading 1 2 2" xfId="34" xr:uid="{00000000-0005-0000-0000-000051000000}"/>
    <cellStyle name="Heading 1 3" xfId="67" xr:uid="{00000000-0005-0000-0000-000052000000}"/>
    <cellStyle name="Heading 1 3 2" xfId="162" xr:uid="{00000000-0005-0000-0000-000019000000}"/>
    <cellStyle name="Heading 1 4" xfId="155" xr:uid="{00000000-0005-0000-0000-00001A000000}"/>
    <cellStyle name="Heading 2 2" xfId="23" xr:uid="{00000000-0005-0000-0000-000053000000}"/>
    <cellStyle name="Heading 2 2 2" xfId="35" xr:uid="{00000000-0005-0000-0000-000054000000}"/>
    <cellStyle name="Heading 2 3" xfId="68" xr:uid="{00000000-0005-0000-0000-000055000000}"/>
    <cellStyle name="Heading 2 3 2" xfId="163" xr:uid="{00000000-0005-0000-0000-00001D000000}"/>
    <cellStyle name="Heading 2 4" xfId="156" xr:uid="{00000000-0005-0000-0000-00001E000000}"/>
    <cellStyle name="Hyperlink 2" xfId="69" xr:uid="{00000000-0005-0000-0000-000056000000}"/>
    <cellStyle name="Normal" xfId="0" builtinId="0"/>
    <cellStyle name="Normal 10" xfId="141" xr:uid="{00000000-0005-0000-0000-000058000000}"/>
    <cellStyle name="Normal 2" xfId="4" xr:uid="{00000000-0005-0000-0000-000059000000}"/>
    <cellStyle name="Normal 2 2" xfId="5" xr:uid="{00000000-0005-0000-0000-00005A000000}"/>
    <cellStyle name="Normal 2 2 2" xfId="37" xr:uid="{00000000-0005-0000-0000-00005B000000}"/>
    <cellStyle name="Normal 2 2 3" xfId="114" xr:uid="{00000000-0005-0000-0000-00005C000000}"/>
    <cellStyle name="Normal 2 2 4" xfId="152" xr:uid="{00000000-0005-0000-0000-000022000000}"/>
    <cellStyle name="Normal 2 3" xfId="31" xr:uid="{00000000-0005-0000-0000-00005D000000}"/>
    <cellStyle name="Normal 2 3 2" xfId="164" xr:uid="{00000000-0005-0000-0000-000023000000}"/>
    <cellStyle name="Normal 2 4" xfId="113" xr:uid="{00000000-0005-0000-0000-00005E000000}"/>
    <cellStyle name="Normal 2 4 2" xfId="158" xr:uid="{00000000-0005-0000-0000-000024000000}"/>
    <cellStyle name="Normal 2 5" xfId="142" xr:uid="{00000000-0005-0000-0000-00005F000000}"/>
    <cellStyle name="Normal 2 6" xfId="145" xr:uid="{00000000-0005-0000-0000-000021000000}"/>
    <cellStyle name="Normal 3" xfId="6" xr:uid="{00000000-0005-0000-0000-000060000000}"/>
    <cellStyle name="Normal 3 2" xfId="7" xr:uid="{00000000-0005-0000-0000-000061000000}"/>
    <cellStyle name="Normal 3 2 2" xfId="116" xr:uid="{00000000-0005-0000-0000-000062000000}"/>
    <cellStyle name="Normal 3 2 3" xfId="147" xr:uid="{00000000-0005-0000-0000-000026000000}"/>
    <cellStyle name="Normal 3 3" xfId="33" xr:uid="{00000000-0005-0000-0000-000063000000}"/>
    <cellStyle name="Normal 3 3 2" xfId="165" xr:uid="{00000000-0005-0000-0000-000027000000}"/>
    <cellStyle name="Normal 3 4" xfId="108" xr:uid="{00000000-0005-0000-0000-000064000000}"/>
    <cellStyle name="Normal 3 5" xfId="115" xr:uid="{00000000-0005-0000-0000-000065000000}"/>
    <cellStyle name="Normal 4" xfId="8" xr:uid="{00000000-0005-0000-0000-000066000000}"/>
    <cellStyle name="Normal 4 2" xfId="9" xr:uid="{00000000-0005-0000-0000-000067000000}"/>
    <cellStyle name="Normal 4 2 2" xfId="118" xr:uid="{00000000-0005-0000-0000-000068000000}"/>
    <cellStyle name="Normal 4 3" xfId="40" xr:uid="{00000000-0005-0000-0000-000069000000}"/>
    <cellStyle name="Normal 4 3 2" xfId="130" xr:uid="{00000000-0005-0000-0000-00006A000000}"/>
    <cellStyle name="Normal 4 3 2 2" xfId="134" xr:uid="{00000000-0005-0000-0000-00006B000000}"/>
    <cellStyle name="Normal 4 3 2 2 2" xfId="138" xr:uid="{00000000-0005-0000-0000-00006C000000}"/>
    <cellStyle name="Normal 4 3 2 3" xfId="136" xr:uid="{00000000-0005-0000-0000-00006D000000}"/>
    <cellStyle name="Normal 4 3 3" xfId="132" xr:uid="{00000000-0005-0000-0000-00006E000000}"/>
    <cellStyle name="Normal 4 3 3 2" xfId="137" xr:uid="{00000000-0005-0000-0000-00006F000000}"/>
    <cellStyle name="Normal 4 3 4" xfId="135" xr:uid="{00000000-0005-0000-0000-000070000000}"/>
    <cellStyle name="Normal 4 4" xfId="109" xr:uid="{00000000-0005-0000-0000-000071000000}"/>
    <cellStyle name="Normal 4 5" xfId="117" xr:uid="{00000000-0005-0000-0000-000072000000}"/>
    <cellStyle name="Normal 4 6" xfId="153" xr:uid="{00000000-0005-0000-0000-000029000000}"/>
    <cellStyle name="Normal 5" xfId="10" xr:uid="{00000000-0005-0000-0000-000073000000}"/>
    <cellStyle name="Normal 5 2" xfId="119" xr:uid="{00000000-0005-0000-0000-000074000000}"/>
    <cellStyle name="Normal 6" xfId="15" xr:uid="{00000000-0005-0000-0000-000075000000}"/>
    <cellStyle name="Normal 7" xfId="25" xr:uid="{00000000-0005-0000-0000-000076000000}"/>
    <cellStyle name="Normal 8" xfId="42" xr:uid="{00000000-0005-0000-0000-000077000000}"/>
    <cellStyle name="Normal 8 2" xfId="131" xr:uid="{00000000-0005-0000-0000-000078000000}"/>
    <cellStyle name="Normal 8 2 2" xfId="167" xr:uid="{00000000-0005-0000-0000-00002A000000}"/>
    <cellStyle name="Normal 9" xfId="111" xr:uid="{00000000-0005-0000-0000-000079000000}"/>
    <cellStyle name="Normal 9 2" xfId="166" xr:uid="{00000000-0005-0000-0000-00002B000000}"/>
    <cellStyle name="Percent" xfId="11" builtinId="5"/>
    <cellStyle name="Percent 2" xfId="12" xr:uid="{00000000-0005-0000-0000-00007B000000}"/>
    <cellStyle name="Percent 2 2" xfId="13" xr:uid="{00000000-0005-0000-0000-00007C000000}"/>
    <cellStyle name="Percent 2 2 2" xfId="121" xr:uid="{00000000-0005-0000-0000-00007D000000}"/>
    <cellStyle name="Percent 2 3" xfId="41" xr:uid="{00000000-0005-0000-0000-00007E000000}"/>
    <cellStyle name="Percent 2 4" xfId="120" xr:uid="{00000000-0005-0000-0000-00007F000000}"/>
    <cellStyle name="Percent 3" xfId="27" xr:uid="{00000000-0005-0000-0000-000080000000}"/>
    <cellStyle name="Percent 4" xfId="139" xr:uid="{00000000-0005-0000-0000-000081000000}"/>
    <cellStyle name="Percent 6" xfId="14" xr:uid="{00000000-0005-0000-0000-000082000000}"/>
    <cellStyle name="Percent 6 2" xfId="122" xr:uid="{00000000-0005-0000-0000-000083000000}"/>
    <cellStyle name="Total 2" xfId="24" xr:uid="{00000000-0005-0000-0000-000084000000}"/>
    <cellStyle name="Total 2 2" xfId="36" xr:uid="{00000000-0005-0000-0000-000085000000}"/>
    <cellStyle name="Total 2 2 2" xfId="91" xr:uid="{00000000-0005-0000-0000-000086000000}"/>
    <cellStyle name="Total 2 3" xfId="106" xr:uid="{00000000-0005-0000-0000-000087000000}"/>
    <cellStyle name="Total 2 4" xfId="71" xr:uid="{00000000-0005-0000-0000-000088000000}"/>
    <cellStyle name="Total 2 5" xfId="129" xr:uid="{00000000-0005-0000-0000-000089000000}"/>
    <cellStyle name="Total 3" xfId="72" xr:uid="{00000000-0005-0000-0000-00008A000000}"/>
    <cellStyle name="Total 3 2" xfId="92" xr:uid="{00000000-0005-0000-0000-00008B000000}"/>
    <cellStyle name="Total 3 3" xfId="107" xr:uid="{00000000-0005-0000-0000-00008C000000}"/>
    <cellStyle name="Total 3 4" xfId="148" xr:uid="{00000000-0005-0000-0000-000031000000}"/>
    <cellStyle name="Total 4" xfId="73" xr:uid="{00000000-0005-0000-0000-00008D000000}"/>
    <cellStyle name="Total 4 2" xfId="93" xr:uid="{00000000-0005-0000-0000-00008E000000}"/>
    <cellStyle name="Total 5" xfId="70" xr:uid="{00000000-0005-0000-0000-00008F000000}"/>
    <cellStyle name="Total 5 2" xfId="157" xr:uid="{00000000-0005-0000-0000-000033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zoomScaleNormal="100" zoomScaleSheetLayoutView="100" workbookViewId="0"/>
  </sheetViews>
  <sheetFormatPr defaultRowHeight="12.75"/>
  <cols>
    <col min="1" max="1" width="2.33203125" customWidth="1"/>
    <col min="2" max="2" width="44.33203125" customWidth="1"/>
    <col min="3" max="3" width="11.1640625" bestFit="1" customWidth="1"/>
    <col min="4" max="4" width="13.6640625" customWidth="1"/>
    <col min="5" max="5" width="11.83203125" customWidth="1"/>
    <col min="6" max="6" width="13" bestFit="1" customWidth="1"/>
    <col min="7" max="7" width="14.83203125" customWidth="1"/>
    <col min="8" max="8" width="32" customWidth="1"/>
    <col min="9" max="17" width="5.1640625" bestFit="1" customWidth="1"/>
    <col min="18" max="18" width="5.5" customWidth="1"/>
    <col min="19" max="19" width="5.83203125" bestFit="1" customWidth="1"/>
    <col min="20" max="20" width="2.6640625" customWidth="1"/>
    <col min="21" max="27" width="5.1640625" bestFit="1" customWidth="1"/>
  </cols>
  <sheetData>
    <row r="1" spans="1:28" ht="16.5" thickBot="1">
      <c r="A1" s="1" t="s">
        <v>0</v>
      </c>
      <c r="B1" s="3"/>
      <c r="C1" s="3"/>
      <c r="D1" s="3"/>
      <c r="E1" s="110"/>
      <c r="F1" s="111"/>
      <c r="G1" s="74" t="s">
        <v>132</v>
      </c>
    </row>
    <row r="2" spans="1:28" ht="23.25">
      <c r="A2" s="2" t="s">
        <v>130</v>
      </c>
      <c r="P2" s="69"/>
      <c r="Q2" s="69"/>
    </row>
    <row r="3" spans="1:28" ht="13.5" customHeight="1" thickBot="1"/>
    <row r="4" spans="1:28" ht="78.75" customHeight="1" thickBot="1">
      <c r="A4" s="106" t="s">
        <v>87</v>
      </c>
      <c r="B4" s="106"/>
      <c r="C4" s="24" t="s">
        <v>109</v>
      </c>
      <c r="D4" s="24" t="s">
        <v>88</v>
      </c>
      <c r="E4" s="24" t="s">
        <v>110</v>
      </c>
      <c r="F4" s="24" t="s">
        <v>93</v>
      </c>
      <c r="G4" s="24" t="s">
        <v>111</v>
      </c>
      <c r="U4" s="112" t="s">
        <v>112</v>
      </c>
      <c r="V4" s="113"/>
      <c r="W4" s="113"/>
      <c r="X4" s="113"/>
      <c r="Y4" s="113"/>
      <c r="Z4" s="113"/>
      <c r="AA4" s="114"/>
    </row>
    <row r="5" spans="1:28">
      <c r="A5" s="10"/>
      <c r="B5" s="10"/>
      <c r="C5" s="10"/>
      <c r="D5" s="10"/>
      <c r="E5" s="10"/>
      <c r="F5" s="10"/>
      <c r="G5" s="10"/>
    </row>
    <row r="6" spans="1:28" ht="18">
      <c r="A6" s="107" t="s">
        <v>89</v>
      </c>
      <c r="B6" s="108"/>
      <c r="C6" s="108"/>
      <c r="D6" s="108"/>
      <c r="E6" s="108"/>
      <c r="F6" s="108"/>
      <c r="G6" s="109"/>
      <c r="I6" s="84">
        <v>2024</v>
      </c>
      <c r="J6" s="84">
        <v>2023</v>
      </c>
      <c r="K6" s="84">
        <v>2022</v>
      </c>
      <c r="L6" s="84">
        <v>2021</v>
      </c>
      <c r="M6" s="33">
        <v>2020</v>
      </c>
      <c r="N6" s="33">
        <v>2019</v>
      </c>
      <c r="O6" s="33">
        <v>2018</v>
      </c>
      <c r="P6" s="33">
        <v>2017</v>
      </c>
      <c r="Q6" s="33">
        <v>2016</v>
      </c>
      <c r="R6" s="33">
        <v>2015</v>
      </c>
      <c r="S6" s="57" t="s">
        <v>124</v>
      </c>
      <c r="T6" s="33"/>
      <c r="U6" s="33">
        <v>2013</v>
      </c>
      <c r="V6" s="33">
        <v>2012</v>
      </c>
      <c r="W6" s="33">
        <v>2011</v>
      </c>
      <c r="X6" s="33">
        <v>2010</v>
      </c>
      <c r="Y6" s="33">
        <v>2009</v>
      </c>
      <c r="Z6" s="33">
        <v>2008</v>
      </c>
      <c r="AA6" s="33">
        <v>2007</v>
      </c>
      <c r="AB6" s="33"/>
    </row>
    <row r="7" spans="1:28">
      <c r="A7" s="25" t="s">
        <v>15</v>
      </c>
      <c r="B7" s="10"/>
      <c r="C7" s="10"/>
      <c r="D7" s="10"/>
      <c r="E7" s="10"/>
      <c r="F7" s="10"/>
      <c r="G7" s="10"/>
    </row>
    <row r="8" spans="1:28">
      <c r="A8" s="25"/>
      <c r="B8" s="10" t="s">
        <v>90</v>
      </c>
      <c r="C8" s="11">
        <f>+'Sched 3-Full Cost Dist by Inst'!H10</f>
        <v>5143.3900000000003</v>
      </c>
      <c r="D8" s="11">
        <f>+'Sched 3-Full Cost Dist by Inst'!I10</f>
        <v>9567.0387800667504</v>
      </c>
      <c r="E8" s="11">
        <f>+'Sched 3-Full Cost Dist by Inst'!L10</f>
        <v>4423.6487800667501</v>
      </c>
      <c r="F8" s="26">
        <f>+'Sched 3-Full Cost Dist by Inst'!K10</f>
        <v>0</v>
      </c>
      <c r="G8" s="27">
        <f>ROUND(+C8/D8, 2)</f>
        <v>0.54</v>
      </c>
      <c r="I8" s="29">
        <f>+G8</f>
        <v>0.54</v>
      </c>
      <c r="J8" s="29">
        <v>0.6</v>
      </c>
      <c r="K8" s="29">
        <v>0.65</v>
      </c>
      <c r="L8" s="29">
        <v>0.56000000000000005</v>
      </c>
      <c r="M8" s="82">
        <v>0.56000000000000005</v>
      </c>
      <c r="N8" s="31">
        <v>0.62</v>
      </c>
      <c r="O8" s="31">
        <v>0.52</v>
      </c>
      <c r="P8" s="68">
        <v>0.55000000000000004</v>
      </c>
      <c r="Q8" s="68">
        <v>0.52</v>
      </c>
      <c r="R8" s="68">
        <v>0.54</v>
      </c>
      <c r="S8" s="29">
        <v>0.62</v>
      </c>
      <c r="T8" s="47"/>
      <c r="U8" s="29">
        <v>0.62</v>
      </c>
      <c r="V8" s="41">
        <v>0.63</v>
      </c>
      <c r="W8" s="41">
        <v>0.62</v>
      </c>
      <c r="X8" s="41">
        <v>0.61</v>
      </c>
      <c r="Y8" s="32">
        <v>0.54</v>
      </c>
      <c r="Z8" s="29">
        <v>0.48</v>
      </c>
      <c r="AA8" s="31">
        <v>0.47</v>
      </c>
      <c r="AB8" s="75"/>
    </row>
    <row r="9" spans="1:28">
      <c r="A9" s="25"/>
      <c r="B9" s="10" t="s">
        <v>91</v>
      </c>
      <c r="C9" s="11">
        <f>+'Sched 3-Full Cost Dist by Inst'!H11</f>
        <v>5143.3900000000003</v>
      </c>
      <c r="D9" s="11">
        <f>+'Sched 3-Full Cost Dist by Inst'!I11</f>
        <v>9567.0387800667504</v>
      </c>
      <c r="E9" s="11">
        <f>+'Sched 3-Full Cost Dist by Inst'!L11</f>
        <v>4423.6487800667501</v>
      </c>
      <c r="F9" s="26">
        <f>+'Sched 3-Full Cost Dist by Inst'!K11</f>
        <v>0</v>
      </c>
      <c r="G9" s="27">
        <f>ROUND(+C9/D9, 2)</f>
        <v>0.54</v>
      </c>
      <c r="I9" s="29">
        <f t="shared" ref="I9:I24" si="0">+G9</f>
        <v>0.54</v>
      </c>
      <c r="J9" s="29">
        <v>0.6</v>
      </c>
      <c r="K9" s="29">
        <v>0.66</v>
      </c>
      <c r="L9" s="29">
        <v>0.56999999999999995</v>
      </c>
      <c r="M9" s="82">
        <v>0.56999999999999995</v>
      </c>
      <c r="N9" s="31">
        <v>0.63</v>
      </c>
      <c r="O9" s="31">
        <v>0.53</v>
      </c>
      <c r="P9" s="68">
        <v>0.56000000000000005</v>
      </c>
      <c r="Q9" s="68">
        <v>0.52</v>
      </c>
      <c r="R9" s="68">
        <v>0.55000000000000004</v>
      </c>
      <c r="S9" s="29">
        <v>0.63</v>
      </c>
      <c r="T9" s="47"/>
      <c r="U9" s="29">
        <v>0.63</v>
      </c>
      <c r="V9" s="29">
        <v>0.64</v>
      </c>
      <c r="W9" s="41">
        <v>0.63</v>
      </c>
      <c r="X9" s="41">
        <v>0.62</v>
      </c>
      <c r="Y9" s="32">
        <v>0.54</v>
      </c>
      <c r="Z9" s="29">
        <v>0.48</v>
      </c>
      <c r="AA9" s="31">
        <v>0.47</v>
      </c>
      <c r="AB9" s="75"/>
    </row>
    <row r="10" spans="1:28">
      <c r="A10" s="25" t="s">
        <v>16</v>
      </c>
      <c r="B10" s="10"/>
      <c r="C10" s="10"/>
      <c r="D10" s="10"/>
      <c r="E10" s="10"/>
      <c r="F10" s="10"/>
      <c r="G10" s="10"/>
      <c r="I10" s="29"/>
      <c r="J10" s="29"/>
      <c r="K10" s="29"/>
      <c r="L10" s="29"/>
      <c r="M10" s="82"/>
      <c r="N10" s="31"/>
      <c r="O10" s="31"/>
      <c r="P10" s="67"/>
      <c r="Q10" s="67"/>
      <c r="R10" s="67"/>
      <c r="S10" s="29"/>
      <c r="T10" s="47"/>
      <c r="W10" s="40"/>
      <c r="X10" s="40"/>
      <c r="Y10" s="10"/>
      <c r="Z10" s="29"/>
      <c r="AA10" s="31"/>
      <c r="AB10" s="75"/>
    </row>
    <row r="11" spans="1:28">
      <c r="A11" s="25"/>
      <c r="B11" s="10" t="s">
        <v>99</v>
      </c>
      <c r="C11" s="11">
        <f>+'Sched 3-Full Cost Dist by Inst'!H13</f>
        <v>4152.4400000000005</v>
      </c>
      <c r="D11" s="11">
        <f>+'Sched 3-Full Cost Dist by Inst'!I13</f>
        <v>7234.4931946732559</v>
      </c>
      <c r="E11" s="11">
        <f>+'Sched 3-Full Cost Dist by Inst'!L13</f>
        <v>3082.0531946732553</v>
      </c>
      <c r="F11" s="26">
        <f>+'Sched 3-Full Cost Dist by Inst'!K13</f>
        <v>0</v>
      </c>
      <c r="G11" s="27">
        <f>ROUND(+C11/D11, 2)</f>
        <v>0.56999999999999995</v>
      </c>
      <c r="I11" s="29">
        <f t="shared" si="0"/>
        <v>0.56999999999999995</v>
      </c>
      <c r="J11" s="29">
        <v>0.51</v>
      </c>
      <c r="K11" s="29">
        <v>0.6</v>
      </c>
      <c r="L11" s="29">
        <v>0.57999999999999996</v>
      </c>
      <c r="M11" s="82">
        <v>0.56999999999999995</v>
      </c>
      <c r="N11" s="31">
        <v>0.6</v>
      </c>
      <c r="O11" s="31">
        <v>0.54</v>
      </c>
      <c r="P11" s="68">
        <v>0.52</v>
      </c>
      <c r="Q11" s="68">
        <v>0.5</v>
      </c>
      <c r="R11" s="68">
        <v>0.53</v>
      </c>
      <c r="S11" s="29">
        <v>0.61</v>
      </c>
      <c r="T11" s="47"/>
      <c r="U11" s="29">
        <v>0.61</v>
      </c>
      <c r="V11" s="29">
        <v>0.61</v>
      </c>
      <c r="W11" s="41">
        <v>0.57999999999999996</v>
      </c>
      <c r="X11" s="41">
        <v>0.57999999999999996</v>
      </c>
      <c r="Y11" s="32">
        <v>0.5</v>
      </c>
      <c r="Z11" s="29">
        <v>0.44</v>
      </c>
      <c r="AA11" s="31">
        <v>0.42</v>
      </c>
      <c r="AB11" s="75"/>
    </row>
    <row r="12" spans="1:28">
      <c r="A12" s="25" t="s">
        <v>17</v>
      </c>
      <c r="B12" s="10"/>
      <c r="C12" s="10"/>
      <c r="D12" s="10"/>
      <c r="E12" s="10"/>
      <c r="F12" s="10"/>
      <c r="G12" s="10"/>
      <c r="I12" s="29"/>
      <c r="J12" s="29"/>
      <c r="K12" s="29"/>
      <c r="L12" s="29"/>
      <c r="M12" s="82"/>
      <c r="N12" s="31"/>
      <c r="O12" s="31"/>
      <c r="P12" s="67"/>
      <c r="Q12" s="67"/>
      <c r="R12" s="67"/>
      <c r="S12" s="29"/>
      <c r="T12" s="47"/>
      <c r="W12" s="40"/>
      <c r="X12" s="40"/>
      <c r="Y12" s="10"/>
      <c r="Z12" s="29"/>
      <c r="AA12" s="31"/>
      <c r="AB12" s="75"/>
    </row>
    <row r="13" spans="1:28">
      <c r="A13" s="25"/>
      <c r="B13" s="10" t="s">
        <v>18</v>
      </c>
      <c r="C13" s="11">
        <f>+'Sched 3-Full Cost Dist by Inst'!H15</f>
        <v>3195.33</v>
      </c>
      <c r="D13" s="11">
        <f>+'Sched 3-Full Cost Dist by Inst'!I15</f>
        <v>7449.3532448377582</v>
      </c>
      <c r="E13" s="11">
        <f>+'Sched 3-Full Cost Dist by Inst'!L15</f>
        <v>4254.0232448377583</v>
      </c>
      <c r="F13" s="26">
        <f>+'Sched 3-Full Cost Dist by Inst'!K15</f>
        <v>0</v>
      </c>
      <c r="G13" s="27">
        <f>ROUND(+C13/D13, 2)</f>
        <v>0.43</v>
      </c>
      <c r="I13" s="29">
        <f t="shared" si="0"/>
        <v>0.43</v>
      </c>
      <c r="J13" s="29">
        <v>0.51</v>
      </c>
      <c r="K13" s="29">
        <v>0.54</v>
      </c>
      <c r="L13" s="29">
        <v>0.53</v>
      </c>
      <c r="M13" s="82">
        <v>0.53</v>
      </c>
      <c r="N13" s="31">
        <v>0.53</v>
      </c>
      <c r="O13" s="31">
        <v>0.56000000000000005</v>
      </c>
      <c r="P13" s="68">
        <v>0.56000000000000005</v>
      </c>
      <c r="Q13" s="68">
        <v>0.56000000000000005</v>
      </c>
      <c r="R13" s="68">
        <v>0.59</v>
      </c>
      <c r="S13" s="29">
        <v>0.54</v>
      </c>
      <c r="T13" s="47"/>
      <c r="U13" s="29">
        <v>0.54</v>
      </c>
      <c r="V13" s="29">
        <v>0.59</v>
      </c>
      <c r="W13" s="41">
        <v>0.55000000000000004</v>
      </c>
      <c r="X13" s="41">
        <v>0.53</v>
      </c>
      <c r="Y13" s="32">
        <v>0.47</v>
      </c>
      <c r="Z13" s="29">
        <v>0.42</v>
      </c>
      <c r="AA13" s="31">
        <v>0.41</v>
      </c>
      <c r="AB13" s="75"/>
    </row>
    <row r="14" spans="1:28">
      <c r="A14" s="25" t="s">
        <v>19</v>
      </c>
      <c r="B14" s="10"/>
      <c r="C14" s="10"/>
      <c r="D14" s="10"/>
      <c r="E14" s="10"/>
      <c r="F14" s="10"/>
      <c r="G14" s="10"/>
      <c r="I14" s="29"/>
      <c r="J14" s="29"/>
      <c r="K14" s="29"/>
      <c r="L14" s="29"/>
      <c r="M14" s="82"/>
      <c r="N14" s="31"/>
      <c r="O14" s="31"/>
      <c r="P14" s="67"/>
      <c r="Q14" s="67"/>
      <c r="R14" s="67"/>
      <c r="S14" s="29"/>
      <c r="T14" s="47"/>
      <c r="W14" s="40"/>
      <c r="X14" s="40"/>
      <c r="Y14" s="10"/>
      <c r="Z14" s="29"/>
      <c r="AA14" s="31"/>
      <c r="AB14" s="75"/>
    </row>
    <row r="15" spans="1:28">
      <c r="A15" s="25"/>
      <c r="B15" s="10" t="s">
        <v>18</v>
      </c>
      <c r="C15" s="11">
        <f>+'Sched 3-Full Cost Dist by Inst'!H17</f>
        <v>3384.75</v>
      </c>
      <c r="D15" s="11">
        <f>+'Sched 3-Full Cost Dist by Inst'!I17</f>
        <v>5724.8377748491976</v>
      </c>
      <c r="E15" s="11">
        <f>+'Sched 3-Full Cost Dist by Inst'!L17</f>
        <v>2340.0877748491976</v>
      </c>
      <c r="F15" s="26">
        <f>+'Sched 3-Full Cost Dist by Inst'!K17</f>
        <v>0</v>
      </c>
      <c r="G15" s="27">
        <f>ROUND(+C15/D15, 2)</f>
        <v>0.59</v>
      </c>
      <c r="I15" s="29">
        <f t="shared" si="0"/>
        <v>0.59</v>
      </c>
      <c r="J15" s="29">
        <v>0.57999999999999996</v>
      </c>
      <c r="K15" s="29">
        <v>0.56999999999999995</v>
      </c>
      <c r="L15" s="29">
        <v>0.56999999999999995</v>
      </c>
      <c r="M15" s="82">
        <v>0.56000000000000005</v>
      </c>
      <c r="N15" s="31">
        <v>0.6</v>
      </c>
      <c r="O15" s="31">
        <v>0.59</v>
      </c>
      <c r="P15" s="68">
        <v>0.59</v>
      </c>
      <c r="Q15" s="68">
        <v>0.55000000000000004</v>
      </c>
      <c r="R15" s="68">
        <v>0.59</v>
      </c>
      <c r="S15" s="29">
        <v>0.57999999999999996</v>
      </c>
      <c r="T15" s="47"/>
      <c r="U15" s="29">
        <v>0.57999999999999996</v>
      </c>
      <c r="V15" s="29">
        <v>0.6</v>
      </c>
      <c r="W15" s="41">
        <v>0.6</v>
      </c>
      <c r="X15" s="41">
        <v>0.67</v>
      </c>
      <c r="Y15" s="32">
        <v>0.49</v>
      </c>
      <c r="Z15" s="29">
        <v>0.44</v>
      </c>
      <c r="AA15" s="31">
        <v>0.41</v>
      </c>
      <c r="AB15" s="75"/>
    </row>
    <row r="16" spans="1:28">
      <c r="A16" s="25" t="s">
        <v>20</v>
      </c>
      <c r="B16" s="10"/>
      <c r="C16" s="10"/>
      <c r="D16" s="10"/>
      <c r="E16" s="10"/>
      <c r="F16" s="10"/>
      <c r="G16" s="10"/>
      <c r="I16" s="29"/>
      <c r="J16" s="29"/>
      <c r="K16" s="29"/>
      <c r="L16" s="29"/>
      <c r="M16" s="82"/>
      <c r="N16" s="31"/>
      <c r="O16" s="31"/>
      <c r="P16" s="67"/>
      <c r="Q16" s="67"/>
      <c r="R16" s="67"/>
      <c r="S16" s="29"/>
      <c r="T16" s="47"/>
      <c r="W16" s="40"/>
      <c r="X16" s="40"/>
      <c r="Y16" s="10"/>
      <c r="Z16" s="29"/>
      <c r="AA16" s="31"/>
      <c r="AB16" s="75"/>
    </row>
    <row r="17" spans="1:28">
      <c r="A17" s="25"/>
      <c r="B17" s="10" t="s">
        <v>18</v>
      </c>
      <c r="C17" s="11">
        <f>+'Sched 3-Full Cost Dist by Inst'!H19</f>
        <v>2090</v>
      </c>
      <c r="D17" s="11">
        <f>+'Sched 3-Full Cost Dist by Inst'!I19</f>
        <v>6728.213384724585</v>
      </c>
      <c r="E17" s="11">
        <f>+'Sched 3-Full Cost Dist by Inst'!L19</f>
        <v>4638.213384724585</v>
      </c>
      <c r="F17" s="26">
        <f>+'Sched 3-Full Cost Dist by Inst'!K19</f>
        <v>0</v>
      </c>
      <c r="G17" s="27">
        <f>ROUND(+C17/D17, 2)</f>
        <v>0.31</v>
      </c>
      <c r="I17" s="29">
        <f t="shared" si="0"/>
        <v>0.31</v>
      </c>
      <c r="J17" s="29">
        <v>0.28000000000000003</v>
      </c>
      <c r="K17" s="29">
        <v>0.37</v>
      </c>
      <c r="L17" s="29">
        <v>0.35</v>
      </c>
      <c r="M17" s="82">
        <v>0.38</v>
      </c>
      <c r="N17" s="31">
        <v>0.3</v>
      </c>
      <c r="O17" s="31">
        <v>0.36</v>
      </c>
      <c r="P17" s="68">
        <v>0.28000000000000003</v>
      </c>
      <c r="Q17" s="68">
        <v>0.31</v>
      </c>
      <c r="R17" s="68">
        <v>0.33</v>
      </c>
      <c r="S17" s="29">
        <v>0.36</v>
      </c>
      <c r="T17" s="47"/>
      <c r="U17" s="29">
        <v>0.36</v>
      </c>
      <c r="V17" s="29">
        <v>0.38</v>
      </c>
      <c r="W17" s="41">
        <v>0.33</v>
      </c>
      <c r="X17" s="41">
        <v>0.33</v>
      </c>
      <c r="Y17" s="32">
        <v>0.23</v>
      </c>
      <c r="Z17" s="29">
        <v>0.21</v>
      </c>
      <c r="AA17" s="31">
        <v>0.22</v>
      </c>
      <c r="AB17" s="75"/>
    </row>
    <row r="18" spans="1:28">
      <c r="A18" s="25" t="s">
        <v>128</v>
      </c>
      <c r="B18" s="10"/>
      <c r="C18" s="10"/>
      <c r="D18" s="10"/>
      <c r="E18" s="10"/>
      <c r="F18" s="10"/>
      <c r="G18" s="10"/>
      <c r="I18" s="29"/>
      <c r="J18" s="29"/>
      <c r="K18" s="29"/>
      <c r="L18" s="29"/>
      <c r="M18" s="82"/>
      <c r="N18" s="31"/>
      <c r="O18" s="31"/>
      <c r="P18" s="67"/>
      <c r="Q18" s="67"/>
      <c r="R18" s="67"/>
      <c r="S18" s="29"/>
      <c r="T18" s="47"/>
      <c r="W18" s="40"/>
      <c r="X18" s="40"/>
      <c r="Y18" s="10"/>
      <c r="Z18" s="29"/>
      <c r="AA18" s="31"/>
      <c r="AB18" s="75"/>
    </row>
    <row r="19" spans="1:28">
      <c r="A19" s="25"/>
      <c r="B19" s="10" t="s">
        <v>18</v>
      </c>
      <c r="C19" s="11">
        <f>+'Sched 3-Full Cost Dist by Inst'!H21</f>
        <v>3037.28</v>
      </c>
      <c r="D19" s="11">
        <f>+'Sched 3-Full Cost Dist by Inst'!I21</f>
        <v>5379.3471874114593</v>
      </c>
      <c r="E19" s="11">
        <f>+'Sched 3-Full Cost Dist by Inst'!L21</f>
        <v>2342.0671874114591</v>
      </c>
      <c r="F19" s="26">
        <f>+'Sched 3-Full Cost Dist by Inst'!K21</f>
        <v>0</v>
      </c>
      <c r="G19" s="27">
        <f>ROUND(+C19/D19, 2)</f>
        <v>0.56000000000000005</v>
      </c>
      <c r="I19" s="29">
        <f t="shared" si="0"/>
        <v>0.56000000000000005</v>
      </c>
      <c r="J19" s="29">
        <v>0.51</v>
      </c>
      <c r="K19" s="29">
        <v>0.51</v>
      </c>
      <c r="L19" s="29">
        <v>0.49</v>
      </c>
      <c r="M19" s="82">
        <v>0.52</v>
      </c>
      <c r="N19" s="31">
        <v>0.5</v>
      </c>
      <c r="O19" s="31">
        <v>0.51</v>
      </c>
      <c r="P19" s="68">
        <v>0.52</v>
      </c>
      <c r="Q19" s="68">
        <v>0.48</v>
      </c>
      <c r="R19" s="68">
        <v>0.56000000000000005</v>
      </c>
      <c r="S19" s="29">
        <v>0.63</v>
      </c>
      <c r="T19" s="47"/>
      <c r="U19" s="29">
        <v>0.63</v>
      </c>
      <c r="V19" s="29">
        <v>0.78</v>
      </c>
      <c r="W19" s="41">
        <v>0.66</v>
      </c>
      <c r="X19" s="41">
        <v>0.64</v>
      </c>
      <c r="Y19" s="32">
        <v>0.48</v>
      </c>
      <c r="Z19" s="29">
        <v>0.34</v>
      </c>
      <c r="AA19" s="31">
        <v>0.36</v>
      </c>
      <c r="AB19" s="75"/>
    </row>
    <row r="20" spans="1:28" ht="12.75" hidden="1" customHeight="1">
      <c r="A20" s="25"/>
      <c r="B20" s="10"/>
      <c r="C20" s="11"/>
      <c r="D20" s="11"/>
      <c r="E20" s="11"/>
      <c r="F20" s="26"/>
      <c r="G20" s="27"/>
      <c r="I20" s="29">
        <f t="shared" si="0"/>
        <v>0</v>
      </c>
      <c r="J20" s="29">
        <v>0</v>
      </c>
      <c r="K20" s="29">
        <v>0</v>
      </c>
      <c r="L20" s="29">
        <v>0</v>
      </c>
      <c r="M20" s="82">
        <v>0</v>
      </c>
      <c r="N20" s="31"/>
      <c r="O20" s="31"/>
      <c r="P20" s="68"/>
      <c r="Q20" s="68"/>
      <c r="R20" s="68"/>
      <c r="S20" s="29"/>
      <c r="T20" s="47"/>
      <c r="V20" s="29"/>
      <c r="W20" s="41"/>
      <c r="X20" s="41"/>
      <c r="Y20" s="32"/>
      <c r="Z20" s="29"/>
      <c r="AA20" s="31"/>
      <c r="AB20" s="75"/>
    </row>
    <row r="21" spans="1:28">
      <c r="A21" s="25" t="s">
        <v>97</v>
      </c>
      <c r="B21" s="10"/>
      <c r="C21" s="10"/>
      <c r="D21" s="10"/>
      <c r="E21" s="10"/>
      <c r="F21" s="10"/>
      <c r="G21" s="10"/>
      <c r="I21" s="29"/>
      <c r="J21" s="29"/>
      <c r="K21" s="29"/>
      <c r="L21" s="29"/>
      <c r="M21" s="82"/>
      <c r="N21" s="31"/>
      <c r="O21" s="31"/>
      <c r="P21" s="67"/>
      <c r="Q21" s="67"/>
      <c r="R21" s="67"/>
      <c r="S21" s="29"/>
      <c r="T21" s="47"/>
      <c r="W21" s="40"/>
      <c r="X21" s="40"/>
      <c r="Y21" s="10"/>
      <c r="Z21" s="29"/>
      <c r="AA21" s="31"/>
      <c r="AB21" s="75"/>
    </row>
    <row r="22" spans="1:28">
      <c r="A22" s="25"/>
      <c r="B22" s="10" t="s">
        <v>18</v>
      </c>
      <c r="C22" s="11">
        <f>+'Sched 3-Full Cost Dist by Inst'!H23</f>
        <v>3135</v>
      </c>
      <c r="D22" s="11">
        <f>+'Sched 3-Full Cost Dist by Inst'!I23</f>
        <v>7472.8783446641301</v>
      </c>
      <c r="E22" s="11">
        <f>+'Sched 3-Full Cost Dist by Inst'!L23</f>
        <v>4337.8783446641301</v>
      </c>
      <c r="F22" s="26">
        <f>+'Sched 3-Full Cost Dist by Inst'!K23</f>
        <v>0</v>
      </c>
      <c r="G22" s="27">
        <f>ROUND(+C22/D22, 2)</f>
        <v>0.42</v>
      </c>
      <c r="I22" s="29">
        <f t="shared" si="0"/>
        <v>0.42</v>
      </c>
      <c r="J22" s="29">
        <v>0.49</v>
      </c>
      <c r="K22" s="29">
        <v>0.5</v>
      </c>
      <c r="L22" s="29">
        <v>0.49</v>
      </c>
      <c r="M22" s="82">
        <v>0.49</v>
      </c>
      <c r="N22" s="31">
        <v>0.49</v>
      </c>
      <c r="O22" s="31">
        <v>0.51</v>
      </c>
      <c r="P22" s="68">
        <v>0.51</v>
      </c>
      <c r="Q22" s="68">
        <v>0.49</v>
      </c>
      <c r="R22" s="68">
        <v>0.53</v>
      </c>
      <c r="S22" s="29">
        <v>0.6</v>
      </c>
      <c r="T22" s="47"/>
      <c r="U22" s="29">
        <v>0.6</v>
      </c>
      <c r="V22" s="29">
        <v>0.61</v>
      </c>
      <c r="W22" s="41">
        <v>0.57999999999999996</v>
      </c>
      <c r="X22" s="41">
        <v>0.57999999999999996</v>
      </c>
      <c r="Y22" s="32">
        <v>0.53</v>
      </c>
      <c r="Z22" s="29">
        <v>0.45</v>
      </c>
      <c r="AA22" s="31">
        <v>0.43</v>
      </c>
      <c r="AB22" s="75"/>
    </row>
    <row r="23" spans="1:28">
      <c r="A23" s="25" t="s">
        <v>21</v>
      </c>
      <c r="B23" s="10"/>
      <c r="C23" s="10"/>
      <c r="D23" s="10"/>
      <c r="E23" s="10"/>
      <c r="F23" s="10"/>
      <c r="G23" s="10"/>
      <c r="I23" s="29"/>
      <c r="J23" s="29"/>
      <c r="K23" s="29"/>
      <c r="L23" s="29"/>
      <c r="M23" s="82"/>
      <c r="N23" s="31"/>
      <c r="O23" s="31"/>
      <c r="P23" s="67"/>
      <c r="Q23" s="67"/>
      <c r="R23" s="67"/>
      <c r="S23" s="29"/>
      <c r="T23" s="47"/>
      <c r="W23" s="40"/>
      <c r="X23" s="40"/>
      <c r="Y23" s="10"/>
      <c r="Z23" s="29"/>
      <c r="AA23" s="31"/>
      <c r="AB23" s="75"/>
    </row>
    <row r="24" spans="1:28">
      <c r="A24" s="10"/>
      <c r="B24" s="10" t="s">
        <v>18</v>
      </c>
      <c r="C24" s="11">
        <f>+'Sched 3-Full Cost Dist by Inst'!H25</f>
        <v>2128.25</v>
      </c>
      <c r="D24" s="11">
        <f>+'Sched 3-Full Cost Dist by Inst'!I25</f>
        <v>7581.1344461516974</v>
      </c>
      <c r="E24" s="11">
        <f>+'Sched 3-Full Cost Dist by Inst'!L25</f>
        <v>5452.8844461516974</v>
      </c>
      <c r="F24" s="26">
        <f>+'Sched 3-Full Cost Dist by Inst'!K25</f>
        <v>0</v>
      </c>
      <c r="G24" s="27">
        <f>ROUND(+C24/D24, 2)</f>
        <v>0.28000000000000003</v>
      </c>
      <c r="I24" s="29">
        <f t="shared" si="0"/>
        <v>0.28000000000000003</v>
      </c>
      <c r="J24" s="29">
        <v>0.33</v>
      </c>
      <c r="K24" s="29">
        <v>0.36</v>
      </c>
      <c r="L24" s="29">
        <v>0.36</v>
      </c>
      <c r="M24" s="82">
        <v>0.37</v>
      </c>
      <c r="N24" s="31">
        <v>0.37</v>
      </c>
      <c r="O24" s="31">
        <v>0.38</v>
      </c>
      <c r="P24" s="68">
        <v>0.4</v>
      </c>
      <c r="Q24" s="68">
        <v>0.42</v>
      </c>
      <c r="R24" s="68">
        <v>0.42</v>
      </c>
      <c r="S24" s="29">
        <v>0.52</v>
      </c>
      <c r="T24" s="47"/>
      <c r="U24" s="29">
        <v>0.52</v>
      </c>
      <c r="V24" s="29">
        <v>0.54</v>
      </c>
      <c r="W24" s="41">
        <v>0.54</v>
      </c>
      <c r="X24" s="41">
        <v>0.53</v>
      </c>
      <c r="Y24" s="32">
        <v>0.4</v>
      </c>
      <c r="Z24" s="29">
        <v>0.38</v>
      </c>
      <c r="AA24" s="31">
        <v>0.4</v>
      </c>
      <c r="AB24" s="75"/>
    </row>
    <row r="25" spans="1:28">
      <c r="X25" s="31"/>
      <c r="Z25" s="31"/>
    </row>
    <row r="26" spans="1:28">
      <c r="E26" s="56" t="s">
        <v>113</v>
      </c>
      <c r="P26" s="63"/>
      <c r="Q26" s="63"/>
      <c r="R26" s="63" t="s">
        <v>121</v>
      </c>
      <c r="S26" s="28"/>
      <c r="T26" s="28"/>
      <c r="U26" s="28"/>
      <c r="V26" s="28"/>
      <c r="W26" s="28"/>
    </row>
    <row r="27" spans="1:28">
      <c r="P27" s="63"/>
      <c r="Q27" s="63"/>
      <c r="R27" s="63" t="s">
        <v>122</v>
      </c>
    </row>
    <row r="28" spans="1:28">
      <c r="B28" s="56"/>
      <c r="P28" s="63"/>
      <c r="Q28" s="63"/>
      <c r="R28" s="63" t="s">
        <v>123</v>
      </c>
    </row>
  </sheetData>
  <mergeCells count="4">
    <mergeCell ref="A4:B4"/>
    <mergeCell ref="A6:G6"/>
    <mergeCell ref="E1:F1"/>
    <mergeCell ref="U4:AA4"/>
  </mergeCells>
  <phoneticPr fontId="12" type="noConversion"/>
  <pageMargins left="0.6" right="0.6" top="0.6" bottom="0.6" header="0.35" footer="0.35"/>
  <pageSetup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4"/>
  <sheetViews>
    <sheetView zoomScaleNormal="100" workbookViewId="0"/>
  </sheetViews>
  <sheetFormatPr defaultRowHeight="12.75"/>
  <cols>
    <col min="1" max="1" width="3.33203125" customWidth="1"/>
    <col min="2" max="2" width="26.6640625" customWidth="1"/>
    <col min="3" max="3" width="3" customWidth="1"/>
    <col min="4" max="4" width="14.5" bestFit="1" customWidth="1"/>
    <col min="5" max="5" width="12.83203125" bestFit="1" customWidth="1"/>
    <col min="6" max="6" width="13.6640625" bestFit="1" customWidth="1"/>
    <col min="7" max="7" width="12.83203125" bestFit="1" customWidth="1"/>
    <col min="8" max="8" width="14.83203125" customWidth="1"/>
    <col min="9" max="11" width="10.33203125" customWidth="1"/>
    <col min="12" max="13" width="13.33203125" bestFit="1" customWidth="1"/>
    <col min="14" max="16" width="10.1640625" customWidth="1"/>
    <col min="17" max="17" width="9.83203125" bestFit="1" customWidth="1"/>
    <col min="18" max="18" width="14.5" bestFit="1" customWidth="1"/>
    <col min="19" max="22" width="13.5" customWidth="1"/>
    <col min="23" max="23" width="14.5" customWidth="1"/>
    <col min="24" max="24" width="12.83203125" bestFit="1" customWidth="1"/>
    <col min="25" max="25" width="11.83203125" bestFit="1" customWidth="1"/>
    <col min="26" max="27" width="9.83203125" bestFit="1" customWidth="1"/>
  </cols>
  <sheetData>
    <row r="1" spans="1:28" ht="16.5" thickBot="1">
      <c r="A1" s="1" t="s">
        <v>0</v>
      </c>
      <c r="B1" s="1"/>
      <c r="C1" s="3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8" ht="23.25">
      <c r="A2" s="2" t="str">
        <f>'Disclosure Summary'!A2</f>
        <v>Undergraduate Resident Tuition and Cost Disclosure, FY 2023-24</v>
      </c>
      <c r="B2" s="2"/>
    </row>
    <row r="3" spans="1:28" ht="13.5" thickBot="1">
      <c r="A3" t="s">
        <v>50</v>
      </c>
    </row>
    <row r="4" spans="1:28" ht="13.5" thickBot="1">
      <c r="B4" s="17"/>
      <c r="C4" s="17" t="s">
        <v>51</v>
      </c>
      <c r="D4" s="30" t="s">
        <v>126</v>
      </c>
    </row>
    <row r="5" spans="1:28"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52</v>
      </c>
      <c r="W5" s="4" t="s">
        <v>53</v>
      </c>
      <c r="X5" s="4" t="s">
        <v>54</v>
      </c>
      <c r="Y5" s="4" t="s">
        <v>55</v>
      </c>
      <c r="Z5" s="4" t="s">
        <v>56</v>
      </c>
      <c r="AA5" s="4" t="s">
        <v>57</v>
      </c>
      <c r="AB5" s="4"/>
    </row>
    <row r="6" spans="1:28" ht="27.75" customHeight="1">
      <c r="D6" s="5"/>
      <c r="E6" s="115" t="s">
        <v>104</v>
      </c>
      <c r="F6" s="116"/>
      <c r="G6" s="116"/>
      <c r="H6" s="117"/>
      <c r="I6" s="115" t="s">
        <v>107</v>
      </c>
      <c r="J6" s="116"/>
      <c r="K6" s="116"/>
      <c r="L6" s="117"/>
      <c r="M6" s="5"/>
      <c r="N6" s="115" t="s">
        <v>108</v>
      </c>
      <c r="O6" s="116"/>
      <c r="P6" s="116"/>
      <c r="Q6" s="117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8" ht="89.25">
      <c r="D7" s="44" t="s">
        <v>115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6" t="s">
        <v>95</v>
      </c>
      <c r="P7" s="6" t="s">
        <v>96</v>
      </c>
      <c r="Q7" s="6" t="s">
        <v>13</v>
      </c>
      <c r="R7" s="6" t="s">
        <v>39</v>
      </c>
      <c r="S7" s="6" t="s">
        <v>48</v>
      </c>
      <c r="T7" s="44" t="s">
        <v>105</v>
      </c>
      <c r="U7" s="6" t="s">
        <v>38</v>
      </c>
      <c r="V7" s="6" t="s">
        <v>40</v>
      </c>
      <c r="W7" s="44" t="s">
        <v>106</v>
      </c>
      <c r="X7" s="6" t="s">
        <v>41</v>
      </c>
      <c r="Y7" s="6" t="s">
        <v>42</v>
      </c>
      <c r="Z7" s="6" t="s">
        <v>43</v>
      </c>
      <c r="AA7" s="6" t="s">
        <v>44</v>
      </c>
    </row>
    <row r="8" spans="1:28" ht="54">
      <c r="A8" s="7"/>
      <c r="B8" s="7"/>
      <c r="C8" s="7"/>
      <c r="D8" s="8" t="s">
        <v>101</v>
      </c>
      <c r="E8" s="9" t="s">
        <v>102</v>
      </c>
      <c r="F8" s="9" t="s">
        <v>102</v>
      </c>
      <c r="G8" s="9" t="s">
        <v>102</v>
      </c>
      <c r="H8" s="9" t="s">
        <v>14</v>
      </c>
      <c r="I8" s="9" t="s">
        <v>102</v>
      </c>
      <c r="J8" s="9" t="s">
        <v>102</v>
      </c>
      <c r="K8" s="9" t="s">
        <v>102</v>
      </c>
      <c r="L8" s="9" t="s">
        <v>35</v>
      </c>
      <c r="M8" s="9" t="s">
        <v>36</v>
      </c>
      <c r="N8" s="9" t="s">
        <v>103</v>
      </c>
      <c r="O8" s="9" t="s">
        <v>103</v>
      </c>
      <c r="P8" s="9" t="s">
        <v>103</v>
      </c>
      <c r="Q8" s="9" t="s">
        <v>92</v>
      </c>
      <c r="R8" s="9" t="s">
        <v>58</v>
      </c>
      <c r="S8" s="9" t="s">
        <v>59</v>
      </c>
      <c r="T8" s="8" t="s">
        <v>37</v>
      </c>
      <c r="U8" s="9" t="s">
        <v>60</v>
      </c>
      <c r="V8" s="9" t="s">
        <v>61</v>
      </c>
      <c r="W8" s="8" t="s">
        <v>101</v>
      </c>
      <c r="X8" s="8" t="s">
        <v>62</v>
      </c>
      <c r="Y8" s="8" t="s">
        <v>116</v>
      </c>
      <c r="Z8" s="9" t="s">
        <v>63</v>
      </c>
      <c r="AA8" s="9" t="s">
        <v>64</v>
      </c>
    </row>
    <row r="9" spans="1:28">
      <c r="A9" s="10"/>
      <c r="B9" s="10"/>
      <c r="C9" s="10"/>
      <c r="D9" s="10"/>
      <c r="E9" s="10"/>
      <c r="F9" s="10"/>
      <c r="G9" s="10"/>
      <c r="I9" s="10"/>
      <c r="J9" s="10"/>
      <c r="K9" s="10"/>
      <c r="N9" s="118"/>
      <c r="O9" s="119"/>
      <c r="P9" s="119"/>
    </row>
    <row r="10" spans="1:28">
      <c r="A10" s="10" t="s">
        <v>15</v>
      </c>
      <c r="B10" s="10"/>
      <c r="C10" s="10"/>
      <c r="D10" s="89">
        <v>652384920</v>
      </c>
      <c r="E10" s="91">
        <v>0</v>
      </c>
      <c r="F10" s="92">
        <v>148885675.88815057</v>
      </c>
      <c r="G10" s="92">
        <v>168141189.23290837</v>
      </c>
      <c r="H10" s="48">
        <f>SUM(E10:G10)</f>
        <v>317026865.12105894</v>
      </c>
      <c r="I10" s="93">
        <v>0</v>
      </c>
      <c r="J10" s="94">
        <v>11349.9</v>
      </c>
      <c r="K10" s="94">
        <v>11218.21</v>
      </c>
      <c r="L10" s="51">
        <f t="shared" ref="L10:L17" si="0">SUM(I10:K10)</f>
        <v>22568.11</v>
      </c>
      <c r="M10" s="52">
        <f>H10/L10</f>
        <v>14047.559371212696</v>
      </c>
      <c r="N10" s="100"/>
      <c r="O10" s="101"/>
      <c r="P10" s="101"/>
      <c r="Q10" s="102">
        <f>7929+9449</f>
        <v>17378</v>
      </c>
      <c r="R10" s="12">
        <f>+Q10*M10</f>
        <v>244118486.75293422</v>
      </c>
      <c r="S10" s="13">
        <f>+R10/D10</f>
        <v>0.3741939448154844</v>
      </c>
      <c r="T10" s="89">
        <v>188253601.13</v>
      </c>
      <c r="U10" s="13">
        <f>+T10/R10</f>
        <v>0.77115667737415738</v>
      </c>
      <c r="V10" s="12">
        <f>+R10-T10</f>
        <v>55864885.622934222</v>
      </c>
      <c r="W10" s="89">
        <v>310042700</v>
      </c>
      <c r="X10" s="12">
        <f>IF(V10&lt;W10, V10, W10)</f>
        <v>55864885.622934222</v>
      </c>
      <c r="Y10" s="12">
        <f>IF(X10=V10, 0, V10-X10)</f>
        <v>0</v>
      </c>
      <c r="Z10" s="13">
        <f>+X10/R10</f>
        <v>0.22884332262584267</v>
      </c>
      <c r="AA10" s="13">
        <f>+Y10/R10</f>
        <v>0</v>
      </c>
    </row>
    <row r="11" spans="1:28">
      <c r="A11" s="10" t="s">
        <v>16</v>
      </c>
      <c r="B11" s="10"/>
      <c r="C11" s="10"/>
      <c r="D11" s="90">
        <v>398012167</v>
      </c>
      <c r="E11" s="95">
        <v>9645554.7871886194</v>
      </c>
      <c r="F11" s="96">
        <v>98051472.169263259</v>
      </c>
      <c r="G11" s="96">
        <v>124338036.32574996</v>
      </c>
      <c r="H11" s="78">
        <f t="shared" ref="H11:H17" si="1">SUM(E11:G11)</f>
        <v>232035063.28220183</v>
      </c>
      <c r="I11" s="95">
        <v>741.80000000000007</v>
      </c>
      <c r="J11" s="96">
        <v>9604</v>
      </c>
      <c r="K11" s="96">
        <v>7896</v>
      </c>
      <c r="L11" s="49">
        <f t="shared" si="0"/>
        <v>18241.8</v>
      </c>
      <c r="M11" s="53">
        <f t="shared" ref="M11:M17" si="2">H11/L11</f>
        <v>12719.965314947091</v>
      </c>
      <c r="N11" s="85"/>
      <c r="O11" s="86"/>
      <c r="P11" s="86"/>
      <c r="Q11" s="99">
        <f>6800+7768</f>
        <v>14568</v>
      </c>
      <c r="R11" s="14">
        <f t="shared" ref="R11:R17" si="3">+Q11*M11</f>
        <v>185304454.70814922</v>
      </c>
      <c r="S11" s="13">
        <f t="shared" ref="S11:S17" si="4">+R11/D11</f>
        <v>0.46557484939436344</v>
      </c>
      <c r="T11" s="90">
        <f>105565086.4-834246</f>
        <v>104730840.40000001</v>
      </c>
      <c r="U11" s="13">
        <f t="shared" ref="U11:U17" si="5">+T11/R11</f>
        <v>0.56518252928645973</v>
      </c>
      <c r="V11" s="14">
        <f t="shared" ref="V11:V17" si="6">+R11-T11</f>
        <v>80573614.308149219</v>
      </c>
      <c r="W11" s="90">
        <v>220217200</v>
      </c>
      <c r="X11" s="14">
        <f t="shared" ref="X11:X17" si="7">IF(V11&lt;W11, V11, W11)</f>
        <v>80573614.308149219</v>
      </c>
      <c r="Y11" s="14">
        <f t="shared" ref="Y11:Y17" si="8">IF(X11=V11, 0, V11-X11)</f>
        <v>0</v>
      </c>
      <c r="Z11" s="13">
        <f t="shared" ref="Z11:Z19" si="9">+X11/R11</f>
        <v>0.43481747071354021</v>
      </c>
      <c r="AA11" s="13">
        <f t="shared" ref="AA11:AA19" si="10">+Y11/R11</f>
        <v>0</v>
      </c>
    </row>
    <row r="12" spans="1:28">
      <c r="A12" s="10" t="s">
        <v>17</v>
      </c>
      <c r="B12" s="10"/>
      <c r="C12" s="10"/>
      <c r="D12" s="90">
        <v>188769448.85000002</v>
      </c>
      <c r="E12" s="95">
        <v>38472739.149167791</v>
      </c>
      <c r="F12" s="96">
        <v>59528049.338210419</v>
      </c>
      <c r="G12" s="96">
        <v>51356805.259020984</v>
      </c>
      <c r="H12" s="78">
        <f>SUM(E12:G12)</f>
        <v>149357593.74639919</v>
      </c>
      <c r="I12" s="95">
        <v>3942.8666666666622</v>
      </c>
      <c r="J12" s="96">
        <v>5720.6500000000005</v>
      </c>
      <c r="K12" s="96">
        <v>3706.9166666666665</v>
      </c>
      <c r="L12" s="49">
        <f t="shared" si="0"/>
        <v>13370.433333333329</v>
      </c>
      <c r="M12" s="53">
        <f t="shared" si="2"/>
        <v>11170.736955401539</v>
      </c>
      <c r="N12" s="85"/>
      <c r="O12" s="86"/>
      <c r="P12" s="86"/>
      <c r="Q12" s="99">
        <f>5032+3443</f>
        <v>8475</v>
      </c>
      <c r="R12" s="14">
        <f t="shared" si="3"/>
        <v>94671995.697028041</v>
      </c>
      <c r="S12" s="13">
        <f t="shared" si="4"/>
        <v>0.50152181019639619</v>
      </c>
      <c r="T12" s="90">
        <v>66103710</v>
      </c>
      <c r="U12" s="13">
        <f t="shared" si="5"/>
        <v>0.6982393210717448</v>
      </c>
      <c r="V12" s="14">
        <f t="shared" si="6"/>
        <v>28568285.697028041</v>
      </c>
      <c r="W12" s="90">
        <v>104808400</v>
      </c>
      <c r="X12" s="14">
        <f t="shared" si="7"/>
        <v>28568285.697028041</v>
      </c>
      <c r="Y12" s="14">
        <f t="shared" si="8"/>
        <v>0</v>
      </c>
      <c r="Z12" s="13">
        <f t="shared" si="9"/>
        <v>0.30176067892825525</v>
      </c>
      <c r="AA12" s="13">
        <f t="shared" si="10"/>
        <v>0</v>
      </c>
    </row>
    <row r="13" spans="1:28">
      <c r="A13" s="10" t="s">
        <v>19</v>
      </c>
      <c r="B13" s="10"/>
      <c r="C13" s="10"/>
      <c r="D13" s="90">
        <v>118845788.52000001</v>
      </c>
      <c r="E13" s="95">
        <v>11522123.447945371</v>
      </c>
      <c r="F13" s="96">
        <v>41193941.406039357</v>
      </c>
      <c r="G13" s="96">
        <v>35702103.931244038</v>
      </c>
      <c r="H13" s="78">
        <f t="shared" si="1"/>
        <v>88418168.785228759</v>
      </c>
      <c r="I13" s="95">
        <v>1212.04</v>
      </c>
      <c r="J13" s="96">
        <v>4605</v>
      </c>
      <c r="K13" s="96">
        <v>3058</v>
      </c>
      <c r="L13" s="49">
        <f t="shared" si="0"/>
        <v>8875.0400000000009</v>
      </c>
      <c r="M13" s="53">
        <f t="shared" si="2"/>
        <v>9962.5656656453102</v>
      </c>
      <c r="N13" s="85"/>
      <c r="O13" s="86"/>
      <c r="P13" s="86"/>
      <c r="Q13" s="99">
        <f>2272.1+3381</f>
        <v>5653.1</v>
      </c>
      <c r="R13" s="14">
        <f t="shared" si="3"/>
        <v>56319379.964459509</v>
      </c>
      <c r="S13" s="13">
        <f t="shared" si="4"/>
        <v>0.47388620720861119</v>
      </c>
      <c r="T13" s="90">
        <v>37405335</v>
      </c>
      <c r="U13" s="13">
        <f t="shared" si="5"/>
        <v>0.66416453845203438</v>
      </c>
      <c r="V13" s="14">
        <f t="shared" si="6"/>
        <v>18914044.964459509</v>
      </c>
      <c r="W13" s="90">
        <v>54113800</v>
      </c>
      <c r="X13" s="14">
        <f t="shared" si="7"/>
        <v>18914044.964459509</v>
      </c>
      <c r="Y13" s="14">
        <f t="shared" si="8"/>
        <v>0</v>
      </c>
      <c r="Z13" s="13">
        <f t="shared" si="9"/>
        <v>0.33583546154796567</v>
      </c>
      <c r="AA13" s="13">
        <f t="shared" si="10"/>
        <v>0</v>
      </c>
    </row>
    <row r="14" spans="1:28">
      <c r="A14" s="10" t="s">
        <v>20</v>
      </c>
      <c r="B14" s="10"/>
      <c r="C14" s="10"/>
      <c r="D14" s="90">
        <v>45262729</v>
      </c>
      <c r="E14" s="95">
        <v>11099693.8742569</v>
      </c>
      <c r="F14" s="96">
        <v>31233170.510064628</v>
      </c>
      <c r="G14" s="96">
        <v>1499555.8111181557</v>
      </c>
      <c r="H14" s="78">
        <f t="shared" si="1"/>
        <v>43832420.195439681</v>
      </c>
      <c r="I14" s="95">
        <v>949.0333333333333</v>
      </c>
      <c r="J14" s="96">
        <v>3042.4333333333334</v>
      </c>
      <c r="K14" s="96">
        <v>96.666666666666671</v>
      </c>
      <c r="L14" s="49">
        <f t="shared" si="0"/>
        <v>4088.1333333333332</v>
      </c>
      <c r="M14" s="53">
        <f t="shared" si="2"/>
        <v>10721.866588362989</v>
      </c>
      <c r="N14" s="85"/>
      <c r="O14" s="86"/>
      <c r="P14" s="86"/>
      <c r="Q14" s="99">
        <f>2454+67.83</f>
        <v>2521.83</v>
      </c>
      <c r="R14" s="14">
        <f t="shared" si="3"/>
        <v>27038724.818531435</v>
      </c>
      <c r="S14" s="13">
        <f t="shared" si="4"/>
        <v>0.59737283667830621</v>
      </c>
      <c r="T14" s="90">
        <v>10420365</v>
      </c>
      <c r="U14" s="13">
        <f t="shared" si="5"/>
        <v>0.38538670258806845</v>
      </c>
      <c r="V14" s="14">
        <f t="shared" si="6"/>
        <v>16618359.818531435</v>
      </c>
      <c r="W14" s="90">
        <v>29976700</v>
      </c>
      <c r="X14" s="14">
        <f t="shared" si="7"/>
        <v>16618359.818531435</v>
      </c>
      <c r="Y14" s="14">
        <f t="shared" si="8"/>
        <v>0</v>
      </c>
      <c r="Z14" s="13">
        <f t="shared" si="9"/>
        <v>0.61461329741193149</v>
      </c>
      <c r="AA14" s="13">
        <f t="shared" si="10"/>
        <v>0</v>
      </c>
    </row>
    <row r="15" spans="1:28">
      <c r="A15" s="55" t="s">
        <v>128</v>
      </c>
      <c r="B15" s="10"/>
      <c r="C15" s="10"/>
      <c r="D15" s="90">
        <v>97406752.649999991</v>
      </c>
      <c r="E15" s="95">
        <v>17325975.786645219</v>
      </c>
      <c r="F15" s="96">
        <v>36068893.668058187</v>
      </c>
      <c r="G15" s="96">
        <v>26155168.422159359</v>
      </c>
      <c r="H15" s="78">
        <f t="shared" si="1"/>
        <v>79550037.876862764</v>
      </c>
      <c r="I15" s="95">
        <v>1724.2200000000003</v>
      </c>
      <c r="J15" s="96">
        <v>3952.2699999999995</v>
      </c>
      <c r="K15" s="96">
        <v>2237.52</v>
      </c>
      <c r="L15" s="49">
        <f t="shared" si="0"/>
        <v>7914.01</v>
      </c>
      <c r="M15" s="53">
        <f t="shared" si="2"/>
        <v>10051.799009208071</v>
      </c>
      <c r="N15" s="85"/>
      <c r="O15" s="86"/>
      <c r="P15" s="86"/>
      <c r="Q15" s="99">
        <f>1703.3+2885</f>
        <v>4588.3</v>
      </c>
      <c r="R15" s="14">
        <f t="shared" si="3"/>
        <v>46120669.393949397</v>
      </c>
      <c r="S15" s="13">
        <f t="shared" si="4"/>
        <v>0.47348533997092862</v>
      </c>
      <c r="T15" s="90">
        <v>29432005</v>
      </c>
      <c r="U15" s="13">
        <f t="shared" si="5"/>
        <v>0.63815216445798606</v>
      </c>
      <c r="V15" s="14">
        <f t="shared" si="6"/>
        <v>16688664.393949397</v>
      </c>
      <c r="W15" s="90">
        <v>51830600</v>
      </c>
      <c r="X15" s="14">
        <f t="shared" si="7"/>
        <v>16688664.393949397</v>
      </c>
      <c r="Y15" s="14">
        <f t="shared" si="8"/>
        <v>0</v>
      </c>
      <c r="Z15" s="13">
        <f t="shared" si="9"/>
        <v>0.36184783554201394</v>
      </c>
      <c r="AA15" s="13">
        <f t="shared" si="10"/>
        <v>0</v>
      </c>
    </row>
    <row r="16" spans="1:28">
      <c r="A16" s="10" t="s">
        <v>97</v>
      </c>
      <c r="B16" s="10"/>
      <c r="C16" s="10"/>
      <c r="D16" s="90">
        <v>287006826.49000001</v>
      </c>
      <c r="E16" s="95">
        <v>61395376.639579684</v>
      </c>
      <c r="F16" s="96">
        <v>121827472.333582</v>
      </c>
      <c r="G16" s="96">
        <v>87913758.131080985</v>
      </c>
      <c r="H16" s="78">
        <f t="shared" si="1"/>
        <v>271136607.10424268</v>
      </c>
      <c r="I16" s="95">
        <v>4780.1949999999997</v>
      </c>
      <c r="J16" s="96">
        <v>11019.125000000004</v>
      </c>
      <c r="K16" s="96">
        <v>6854.1049999999996</v>
      </c>
      <c r="L16" s="49">
        <f t="shared" si="0"/>
        <v>22653.425000000003</v>
      </c>
      <c r="M16" s="53">
        <f t="shared" si="2"/>
        <v>11968.901263462043</v>
      </c>
      <c r="N16" s="85"/>
      <c r="O16" s="86"/>
      <c r="P16" s="86"/>
      <c r="Q16" s="99">
        <f>9688+6345</f>
        <v>16033</v>
      </c>
      <c r="R16" s="14">
        <f t="shared" si="3"/>
        <v>191897393.95708695</v>
      </c>
      <c r="S16" s="13">
        <f t="shared" si="4"/>
        <v>0.66861613120471586</v>
      </c>
      <c r="T16" s="90">
        <v>106204382</v>
      </c>
      <c r="U16" s="13">
        <f t="shared" si="5"/>
        <v>0.55344358675214711</v>
      </c>
      <c r="V16" s="14">
        <f t="shared" si="6"/>
        <v>85693011.957086951</v>
      </c>
      <c r="W16" s="90">
        <v>139662300</v>
      </c>
      <c r="X16" s="14">
        <f t="shared" si="7"/>
        <v>85693011.957086951</v>
      </c>
      <c r="Y16" s="14">
        <f>IF(X16=V16, 0, V16-X16)</f>
        <v>0</v>
      </c>
      <c r="Z16" s="13">
        <f t="shared" si="9"/>
        <v>0.44655641324785289</v>
      </c>
      <c r="AA16" s="13">
        <f t="shared" si="10"/>
        <v>0</v>
      </c>
    </row>
    <row r="17" spans="1:27">
      <c r="A17" s="10" t="s">
        <v>21</v>
      </c>
      <c r="B17" s="10"/>
      <c r="C17" s="10"/>
      <c r="D17" s="90">
        <v>166679892.10000002</v>
      </c>
      <c r="E17" s="97">
        <v>65880034.707732223</v>
      </c>
      <c r="F17" s="98">
        <v>89334930.547959566</v>
      </c>
      <c r="G17" s="98">
        <v>0</v>
      </c>
      <c r="H17" s="79">
        <f t="shared" si="1"/>
        <v>155214965.2556918</v>
      </c>
      <c r="I17" s="97">
        <v>4645.2</v>
      </c>
      <c r="J17" s="98">
        <v>7620.8</v>
      </c>
      <c r="K17" s="98">
        <v>0</v>
      </c>
      <c r="L17" s="50">
        <f t="shared" si="0"/>
        <v>12266</v>
      </c>
      <c r="M17" s="54">
        <f t="shared" si="2"/>
        <v>12654.081628541644</v>
      </c>
      <c r="N17" s="87"/>
      <c r="O17" s="88"/>
      <c r="P17" s="88"/>
      <c r="Q17" s="103">
        <v>7159</v>
      </c>
      <c r="R17" s="14">
        <f t="shared" si="3"/>
        <v>90590570.378729627</v>
      </c>
      <c r="S17" s="13">
        <f t="shared" si="4"/>
        <v>0.54350029411093925</v>
      </c>
      <c r="T17" s="90">
        <v>50977373.110000007</v>
      </c>
      <c r="U17" s="13">
        <f t="shared" si="5"/>
        <v>0.56272273037778919</v>
      </c>
      <c r="V17" s="14">
        <f t="shared" si="6"/>
        <v>39613197.26872962</v>
      </c>
      <c r="W17" s="90">
        <v>106458600</v>
      </c>
      <c r="X17" s="14">
        <f t="shared" si="7"/>
        <v>39613197.26872962</v>
      </c>
      <c r="Y17" s="14">
        <f t="shared" si="8"/>
        <v>0</v>
      </c>
      <c r="Z17" s="13">
        <f t="shared" si="9"/>
        <v>0.43727726962221081</v>
      </c>
      <c r="AA17" s="13">
        <f t="shared" si="10"/>
        <v>0</v>
      </c>
    </row>
    <row r="18" spans="1:27">
      <c r="A18" s="10"/>
      <c r="B18" s="10"/>
      <c r="C18" s="10"/>
      <c r="D18" s="11"/>
      <c r="E18" s="11"/>
      <c r="F18" s="11"/>
      <c r="G18" s="11"/>
      <c r="H18" s="12"/>
      <c r="I18" s="14"/>
      <c r="J18" s="14"/>
      <c r="K18" s="14"/>
      <c r="L18" s="14"/>
      <c r="M18" s="12"/>
      <c r="N18" s="14"/>
      <c r="O18" s="14"/>
      <c r="P18" s="14"/>
      <c r="Q18" s="14"/>
      <c r="R18" s="12"/>
      <c r="S18" s="13"/>
      <c r="T18" s="12"/>
      <c r="U18" s="13"/>
      <c r="V18" s="12"/>
      <c r="W18" s="12"/>
      <c r="X18" s="12"/>
      <c r="Y18" s="12"/>
      <c r="Z18" s="13"/>
      <c r="AA18" s="13"/>
    </row>
    <row r="19" spans="1:27">
      <c r="A19" s="10" t="s">
        <v>22</v>
      </c>
      <c r="B19" s="11"/>
      <c r="C19" s="10"/>
      <c r="D19" s="18">
        <f>SUM(D10:D18)</f>
        <v>1954368524.6100001</v>
      </c>
      <c r="E19" s="18">
        <f>SUM(E10:E18)</f>
        <v>215341498.39251581</v>
      </c>
      <c r="F19" s="18">
        <f>SUM(F10:F18)</f>
        <v>626123605.86132789</v>
      </c>
      <c r="G19" s="18">
        <f>SUM(G10:G18)</f>
        <v>495106617.11328191</v>
      </c>
      <c r="H19" s="19">
        <f>SUM(E19:G19)</f>
        <v>1336571721.3671255</v>
      </c>
      <c r="I19" s="42">
        <f>SUM(I10:I18)</f>
        <v>17995.354999999996</v>
      </c>
      <c r="J19" s="42">
        <f>SUM(J10:J18)</f>
        <v>56914.178333333344</v>
      </c>
      <c r="K19" s="42">
        <f>SUM(K10:K18)</f>
        <v>35067.418333333335</v>
      </c>
      <c r="L19" s="20">
        <f>SUM(I19:K19)</f>
        <v>109976.95166666668</v>
      </c>
      <c r="M19" s="19">
        <f>H19/L19</f>
        <v>12153.198475787833</v>
      </c>
      <c r="N19" s="42">
        <f>SUM(N10:N18)</f>
        <v>0</v>
      </c>
      <c r="O19" s="42">
        <f>SUM(O10:O18)</f>
        <v>0</v>
      </c>
      <c r="P19" s="42">
        <f>SUM(P10:P18)</f>
        <v>0</v>
      </c>
      <c r="Q19" s="20">
        <f>SUM(Q10:Q18)</f>
        <v>76376.23000000001</v>
      </c>
      <c r="R19" s="19">
        <f>SUM(R10:R18)</f>
        <v>936061675.67086828</v>
      </c>
      <c r="S19" s="21">
        <f>+R19/D19</f>
        <v>0.47895863235807179</v>
      </c>
      <c r="T19" s="43">
        <f>SUM(T10:T18)</f>
        <v>593527611.63999999</v>
      </c>
      <c r="U19" s="21">
        <f>+T19/R19</f>
        <v>0.63406891561351797</v>
      </c>
      <c r="V19" s="19">
        <f>SUM(V10:V18)</f>
        <v>342534064.03086835</v>
      </c>
      <c r="W19" s="43">
        <f>SUM(W10:W18)</f>
        <v>1017110300</v>
      </c>
      <c r="X19" s="19">
        <f>SUM(X10:X18)</f>
        <v>342534064.03086835</v>
      </c>
      <c r="Y19" s="19">
        <f>SUM(Y10:Y18)</f>
        <v>0</v>
      </c>
      <c r="Z19" s="21">
        <f t="shared" si="9"/>
        <v>0.36593108438648214</v>
      </c>
      <c r="AA19" s="21">
        <f t="shared" si="10"/>
        <v>0</v>
      </c>
    </row>
    <row r="20" spans="1:27">
      <c r="A20" s="10"/>
      <c r="B20" s="10"/>
      <c r="C20" s="10"/>
      <c r="D20" s="10"/>
      <c r="E20" s="10"/>
      <c r="F20" s="10"/>
      <c r="G20" s="10"/>
      <c r="N20" s="80"/>
      <c r="O20" s="80"/>
      <c r="P20" s="80"/>
    </row>
    <row r="21" spans="1:27" s="63" customFormat="1">
      <c r="A21" s="63" t="s">
        <v>120</v>
      </c>
      <c r="C21" s="62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  <c r="O21" s="65"/>
      <c r="P21" s="65"/>
      <c r="Q21" s="64"/>
      <c r="R21" s="64"/>
      <c r="S21" s="64"/>
      <c r="T21" s="64"/>
      <c r="U21" s="64"/>
      <c r="V21" s="64"/>
      <c r="W21" s="64"/>
    </row>
    <row r="22" spans="1:27" s="63" customFormat="1">
      <c r="A22" s="63" t="s">
        <v>114</v>
      </c>
      <c r="C22" s="62"/>
      <c r="D22" s="64"/>
      <c r="E22" s="62"/>
      <c r="F22" s="62"/>
      <c r="G22" s="62"/>
    </row>
    <row r="23" spans="1:27">
      <c r="A23" s="10"/>
      <c r="B23" s="10"/>
      <c r="C23" s="10"/>
      <c r="D23" s="11"/>
      <c r="E23" s="58"/>
      <c r="F23" s="11"/>
      <c r="G23" s="10"/>
    </row>
    <row r="24" spans="1:27">
      <c r="A24" s="10"/>
      <c r="B24" s="10"/>
      <c r="C24" s="10"/>
      <c r="D24" s="10"/>
      <c r="E24" s="10"/>
      <c r="F24" s="10"/>
      <c r="G24" s="10"/>
    </row>
    <row r="25" spans="1:27">
      <c r="A25" s="10"/>
      <c r="B25" s="10"/>
      <c r="C25" s="10"/>
      <c r="D25" s="10"/>
      <c r="E25" s="10"/>
      <c r="F25" s="10"/>
      <c r="G25" s="10"/>
      <c r="I25" s="10"/>
      <c r="J25" s="10"/>
      <c r="K25" s="10"/>
    </row>
    <row r="26" spans="1:27">
      <c r="A26" s="10"/>
      <c r="B26" s="10"/>
      <c r="C26" s="10"/>
      <c r="D26" s="11"/>
      <c r="E26" s="11"/>
      <c r="F26" s="11"/>
      <c r="G26" s="10"/>
      <c r="I26" s="11"/>
      <c r="J26" s="11"/>
      <c r="K26" s="10"/>
    </row>
    <row r="27" spans="1:27">
      <c r="A27" s="10"/>
      <c r="B27" s="10"/>
      <c r="C27" s="10"/>
      <c r="D27" s="10"/>
      <c r="E27" s="10"/>
      <c r="F27" s="10"/>
      <c r="G27" s="10"/>
      <c r="I27" s="10"/>
      <c r="J27" s="10"/>
      <c r="K27" s="10"/>
    </row>
    <row r="28" spans="1:27">
      <c r="A28" s="10"/>
      <c r="B28" s="10"/>
      <c r="C28" s="10"/>
      <c r="D28" s="11"/>
      <c r="E28" s="11"/>
      <c r="F28" s="11"/>
      <c r="G28" s="10"/>
      <c r="I28" s="11"/>
      <c r="J28" s="11"/>
      <c r="K28" s="10"/>
    </row>
    <row r="29" spans="1:27">
      <c r="A29" s="10"/>
      <c r="B29" s="10"/>
      <c r="C29" s="10"/>
      <c r="D29" s="10"/>
      <c r="E29" s="10"/>
      <c r="F29" s="10"/>
      <c r="G29" s="10"/>
      <c r="I29" s="10"/>
      <c r="J29" s="10"/>
      <c r="K29" s="10"/>
    </row>
    <row r="30" spans="1:27">
      <c r="A30" s="10"/>
      <c r="B30" s="10"/>
      <c r="C30" s="10"/>
      <c r="D30" s="11"/>
      <c r="E30" s="11"/>
      <c r="F30" s="11"/>
      <c r="G30" s="55" t="s">
        <v>113</v>
      </c>
      <c r="I30" s="11"/>
      <c r="J30" s="11"/>
      <c r="K30" s="10"/>
    </row>
    <row r="31" spans="1:27">
      <c r="A31" s="10"/>
      <c r="B31" s="10"/>
      <c r="C31" s="10"/>
      <c r="D31" s="55"/>
      <c r="E31" s="55"/>
      <c r="F31" s="55"/>
      <c r="G31" s="10"/>
      <c r="I31" s="10"/>
      <c r="J31" s="10"/>
      <c r="K31" s="10"/>
    </row>
    <row r="32" spans="1:27">
      <c r="D32" s="58"/>
      <c r="E32" s="58"/>
    </row>
    <row r="33" spans="4:5" ht="12" customHeight="1">
      <c r="D33" s="55"/>
      <c r="E33" s="55"/>
    </row>
    <row r="34" spans="4:5">
      <c r="D34" s="58"/>
    </row>
  </sheetData>
  <mergeCells count="4">
    <mergeCell ref="E6:H6"/>
    <mergeCell ref="I6:L6"/>
    <mergeCell ref="N6:Q6"/>
    <mergeCell ref="N9:P9"/>
  </mergeCells>
  <phoneticPr fontId="12" type="noConversion"/>
  <pageMargins left="0.6" right="0.6" top="0.6" bottom="0.6" header="0.35" footer="0.35"/>
  <pageSetup scale="42" orientation="landscape" r:id="rId1"/>
  <headerFooter alignWithMargins="0">
    <oddFooter>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zoomScaleNormal="100" workbookViewId="0"/>
  </sheetViews>
  <sheetFormatPr defaultRowHeight="12.75"/>
  <cols>
    <col min="1" max="1" width="3.33203125" customWidth="1"/>
    <col min="2" max="2" width="26.6640625" customWidth="1"/>
    <col min="3" max="3" width="3" customWidth="1"/>
    <col min="4" max="4" width="14.5" bestFit="1" customWidth="1"/>
    <col min="5" max="5" width="13.33203125" customWidth="1"/>
    <col min="6" max="6" width="14.5" customWidth="1"/>
    <col min="7" max="7" width="15.6640625" bestFit="1" customWidth="1"/>
    <col min="8" max="8" width="13.5" customWidth="1"/>
  </cols>
  <sheetData>
    <row r="1" spans="1:8" ht="16.5" thickBot="1">
      <c r="A1" s="1" t="s">
        <v>0</v>
      </c>
      <c r="B1" s="1"/>
      <c r="C1" s="3"/>
      <c r="D1" s="59"/>
      <c r="E1" s="59"/>
      <c r="F1" s="59"/>
      <c r="G1" s="59"/>
      <c r="H1" s="59"/>
    </row>
    <row r="2" spans="1:8" ht="23.25">
      <c r="A2" s="2" t="str">
        <f>'Disclosure Summary'!A2</f>
        <v>Undergraduate Resident Tuition and Cost Disclosure, FY 2023-24</v>
      </c>
      <c r="B2" s="2"/>
    </row>
    <row r="3" spans="1:8" ht="13.5" thickBot="1">
      <c r="A3" t="s">
        <v>46</v>
      </c>
    </row>
    <row r="4" spans="1:8" ht="13.5" thickBot="1">
      <c r="B4" s="17"/>
      <c r="C4" s="17" t="s">
        <v>72</v>
      </c>
      <c r="D4" s="30" t="s">
        <v>131</v>
      </c>
      <c r="E4" s="4"/>
      <c r="F4" s="4"/>
      <c r="G4" s="4"/>
      <c r="H4" s="4"/>
    </row>
    <row r="5" spans="1:8" ht="27.75" customHeight="1">
      <c r="B5" s="7"/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</row>
    <row r="6" spans="1:8" ht="114.75">
      <c r="B6" s="7"/>
      <c r="D6" s="44" t="s">
        <v>129</v>
      </c>
      <c r="E6" s="6" t="s">
        <v>47</v>
      </c>
      <c r="F6" s="44" t="s">
        <v>100</v>
      </c>
      <c r="G6" s="6" t="s">
        <v>98</v>
      </c>
      <c r="H6" s="6" t="s">
        <v>49</v>
      </c>
    </row>
    <row r="7" spans="1:8" ht="27">
      <c r="A7" s="7"/>
      <c r="B7" s="7"/>
      <c r="C7" s="7"/>
      <c r="D7" s="8" t="s">
        <v>45</v>
      </c>
      <c r="E7" s="9" t="s">
        <v>65</v>
      </c>
      <c r="F7" s="9" t="s">
        <v>66</v>
      </c>
      <c r="G7" s="16" t="s">
        <v>125</v>
      </c>
      <c r="H7" s="9" t="s">
        <v>67</v>
      </c>
    </row>
    <row r="8" spans="1:8">
      <c r="A8" s="10"/>
      <c r="B8" s="10"/>
      <c r="C8" s="10"/>
      <c r="D8" s="10"/>
    </row>
    <row r="9" spans="1:8">
      <c r="A9" s="10" t="s">
        <v>15</v>
      </c>
      <c r="B9" s="10"/>
      <c r="C9" s="10"/>
      <c r="D9" s="89">
        <v>833632600</v>
      </c>
      <c r="E9" s="15">
        <f>+'Sched 1-Actual Cost Study Calcs'!S10</f>
        <v>0.3741939448154844</v>
      </c>
      <c r="F9" s="12">
        <f>ROUND(E9*D9, 0)</f>
        <v>311940271</v>
      </c>
      <c r="G9" s="46">
        <f>'Sched 1-Actual Cost Study Calcs'!Q10</f>
        <v>17378</v>
      </c>
      <c r="H9" s="12">
        <f>+F9/G9</f>
        <v>17950.297560133502</v>
      </c>
    </row>
    <row r="10" spans="1:8">
      <c r="A10" s="10" t="s">
        <v>16</v>
      </c>
      <c r="B10" s="10"/>
      <c r="C10" s="10"/>
      <c r="D10" s="90">
        <v>424029500</v>
      </c>
      <c r="E10" s="15">
        <f>+'Sched 1-Actual Cost Study Calcs'!S11</f>
        <v>0.46557484939436344</v>
      </c>
      <c r="F10" s="14">
        <f t="shared" ref="F10:F16" si="0">ROUND(E10*D10, 0)</f>
        <v>197417471</v>
      </c>
      <c r="G10" s="46">
        <f>'Sched 1-Actual Cost Study Calcs'!Q11</f>
        <v>14568</v>
      </c>
      <c r="H10" s="14">
        <f t="shared" ref="H10:H16" si="1">+F10/G10</f>
        <v>13551.446389346513</v>
      </c>
    </row>
    <row r="11" spans="1:8">
      <c r="A11" s="10" t="s">
        <v>17</v>
      </c>
      <c r="B11" s="10"/>
      <c r="C11" s="10"/>
      <c r="D11" s="90">
        <v>236221800</v>
      </c>
      <c r="E11" s="15">
        <f>+'Sched 1-Actual Cost Study Calcs'!S12</f>
        <v>0.50152181019639619</v>
      </c>
      <c r="F11" s="14">
        <f t="shared" si="0"/>
        <v>118470385</v>
      </c>
      <c r="G11" s="46">
        <f>'Sched 1-Actual Cost Study Calcs'!Q12</f>
        <v>8475</v>
      </c>
      <c r="H11" s="14">
        <f t="shared" si="1"/>
        <v>13978.806489675517</v>
      </c>
    </row>
    <row r="12" spans="1:8">
      <c r="A12" s="10" t="s">
        <v>19</v>
      </c>
      <c r="B12" s="10"/>
      <c r="C12" s="10"/>
      <c r="D12" s="90">
        <v>127477900</v>
      </c>
      <c r="E12" s="15">
        <f>+'Sched 1-Actual Cost Study Calcs'!S13</f>
        <v>0.47388620720861119</v>
      </c>
      <c r="F12" s="14">
        <f t="shared" si="0"/>
        <v>60410019</v>
      </c>
      <c r="G12" s="46">
        <f>'Sched 1-Actual Cost Study Calcs'!Q13</f>
        <v>5653.1</v>
      </c>
      <c r="H12" s="14">
        <f t="shared" si="1"/>
        <v>10686.175549698395</v>
      </c>
    </row>
    <row r="13" spans="1:8">
      <c r="A13" s="10" t="s">
        <v>20</v>
      </c>
      <c r="B13" s="10"/>
      <c r="C13" s="10"/>
      <c r="D13" s="90">
        <v>55185700</v>
      </c>
      <c r="E13" s="15">
        <f>+'Sched 1-Actual Cost Study Calcs'!S14</f>
        <v>0.59737283667830621</v>
      </c>
      <c r="F13" s="14">
        <f t="shared" si="0"/>
        <v>32966438</v>
      </c>
      <c r="G13" s="46">
        <f>'Sched 1-Actual Cost Study Calcs'!Q14</f>
        <v>2521.83</v>
      </c>
      <c r="H13" s="14">
        <f t="shared" si="1"/>
        <v>13072.42676944917</v>
      </c>
    </row>
    <row r="14" spans="1:8">
      <c r="A14" s="55" t="s">
        <v>128</v>
      </c>
      <c r="B14" s="10"/>
      <c r="C14" s="10"/>
      <c r="D14" s="90">
        <v>96427000</v>
      </c>
      <c r="E14" s="15">
        <f>+'Sched 1-Actual Cost Study Calcs'!S15</f>
        <v>0.47348533997092862</v>
      </c>
      <c r="F14" s="14">
        <f t="shared" si="0"/>
        <v>45656771</v>
      </c>
      <c r="G14" s="46">
        <f>'Sched 1-Actual Cost Study Calcs'!Q15</f>
        <v>4588.3</v>
      </c>
      <c r="H14" s="14">
        <f>+F14/G14</f>
        <v>9950.6943748229187</v>
      </c>
    </row>
    <row r="15" spans="1:8">
      <c r="A15" s="10" t="s">
        <v>97</v>
      </c>
      <c r="B15" s="10"/>
      <c r="C15" s="10"/>
      <c r="D15" s="90">
        <v>342659500</v>
      </c>
      <c r="E15" s="15">
        <f>+'Sched 1-Actual Cost Study Calcs'!S16</f>
        <v>0.66861613120471586</v>
      </c>
      <c r="F15" s="14">
        <f t="shared" si="0"/>
        <v>229107669</v>
      </c>
      <c r="G15" s="46">
        <f>'Sched 1-Actual Cost Study Calcs'!Q16</f>
        <v>16033</v>
      </c>
      <c r="H15" s="14">
        <f t="shared" si="1"/>
        <v>14289.75668932826</v>
      </c>
    </row>
    <row r="16" spans="1:8">
      <c r="A16" s="10" t="s">
        <v>21</v>
      </c>
      <c r="B16" s="10"/>
      <c r="C16" s="10"/>
      <c r="D16" s="90">
        <v>193408400</v>
      </c>
      <c r="E16" s="15">
        <f>+'Sched 1-Actual Cost Study Calcs'!S17</f>
        <v>0.54350029411093925</v>
      </c>
      <c r="F16" s="14">
        <f t="shared" si="0"/>
        <v>105117522</v>
      </c>
      <c r="G16" s="46">
        <f>'Sched 1-Actual Cost Study Calcs'!Q17</f>
        <v>7159</v>
      </c>
      <c r="H16" s="14">
        <f t="shared" si="1"/>
        <v>14683.268892303395</v>
      </c>
    </row>
    <row r="17" spans="1:8">
      <c r="A17" s="10"/>
      <c r="B17" s="10"/>
      <c r="C17" s="10"/>
      <c r="D17" s="11"/>
      <c r="E17" s="15"/>
      <c r="F17" s="12"/>
      <c r="G17" s="14"/>
      <c r="H17" s="12"/>
    </row>
    <row r="18" spans="1:8">
      <c r="A18" s="10" t="s">
        <v>22</v>
      </c>
      <c r="B18" s="10"/>
      <c r="C18" s="10"/>
      <c r="D18" s="18">
        <f>SUM(D9:D17)</f>
        <v>2309042400</v>
      </c>
      <c r="E18" s="22">
        <f>+'Sched 1-Actual Cost Study Calcs'!S19</f>
        <v>0.47895863235807179</v>
      </c>
      <c r="F18" s="18">
        <f>SUM(F9:F17)</f>
        <v>1101086546</v>
      </c>
      <c r="G18" s="42">
        <f>SUM(G9:G17)</f>
        <v>76376.23000000001</v>
      </c>
      <c r="H18" s="19">
        <f>+F18/G18</f>
        <v>14416.612943582053</v>
      </c>
    </row>
    <row r="19" spans="1:8">
      <c r="A19" s="10"/>
      <c r="B19" s="10"/>
      <c r="C19" s="10"/>
      <c r="D19" s="10"/>
      <c r="G19" s="14"/>
    </row>
    <row r="20" spans="1:8" ht="12.75" customHeight="1">
      <c r="A20" s="10"/>
      <c r="B20" s="10"/>
    </row>
    <row r="21" spans="1:8">
      <c r="A21" s="10"/>
      <c r="B21" s="10"/>
    </row>
    <row r="22" spans="1:8">
      <c r="A22" s="10"/>
      <c r="B22" s="10"/>
    </row>
    <row r="23" spans="1:8">
      <c r="A23" s="10"/>
      <c r="B23" s="10"/>
    </row>
    <row r="24" spans="1:8">
      <c r="A24" s="10"/>
      <c r="B24" s="10"/>
      <c r="C24" s="10"/>
      <c r="D24" s="10"/>
    </row>
    <row r="25" spans="1:8">
      <c r="A25" s="10"/>
      <c r="B25" s="10"/>
      <c r="C25" s="10"/>
      <c r="D25" s="11"/>
    </row>
    <row r="26" spans="1:8">
      <c r="A26" s="10"/>
      <c r="B26" s="10"/>
      <c r="C26" s="10"/>
      <c r="D26" s="10"/>
    </row>
    <row r="27" spans="1:8">
      <c r="A27" s="10"/>
      <c r="B27" s="10"/>
      <c r="C27" s="10"/>
      <c r="D27" s="11"/>
    </row>
    <row r="28" spans="1:8">
      <c r="A28" s="10"/>
      <c r="B28" s="10"/>
      <c r="C28" s="10"/>
      <c r="D28" s="10"/>
    </row>
    <row r="29" spans="1:8">
      <c r="A29" s="10"/>
      <c r="B29" s="10"/>
      <c r="C29" s="10"/>
      <c r="D29" s="11"/>
    </row>
    <row r="30" spans="1:8">
      <c r="A30" s="10"/>
      <c r="B30" s="10"/>
      <c r="C30" s="10"/>
      <c r="D30" s="10"/>
    </row>
  </sheetData>
  <phoneticPr fontId="12" type="noConversion"/>
  <pageMargins left="0.6" right="0.6" top="0.6" bottom="0.6" header="0.35" footer="0.35"/>
  <pageSetup orientation="portrait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zoomScaleNormal="100" workbookViewId="0">
      <selection activeCell="G25" sqref="G25"/>
    </sheetView>
  </sheetViews>
  <sheetFormatPr defaultRowHeight="12.75"/>
  <cols>
    <col min="1" max="1" width="3.33203125" style="28" customWidth="1"/>
    <col min="2" max="2" width="26.6640625" customWidth="1"/>
    <col min="3" max="3" width="3" customWidth="1"/>
    <col min="4" max="4" width="13.83203125" bestFit="1" customWidth="1"/>
    <col min="5" max="5" width="13.83203125" customWidth="1"/>
    <col min="6" max="8" width="13.33203125" bestFit="1" customWidth="1"/>
    <col min="9" max="9" width="13.6640625" customWidth="1"/>
    <col min="10" max="10" width="15.6640625" bestFit="1" customWidth="1"/>
    <col min="11" max="12" width="13.5" customWidth="1"/>
    <col min="14" max="14" width="9.83203125" bestFit="1" customWidth="1"/>
  </cols>
  <sheetData>
    <row r="1" spans="1:14" ht="16.5" thickBot="1">
      <c r="A1" s="70" t="s">
        <v>0</v>
      </c>
      <c r="B1" s="1"/>
      <c r="C1" s="3"/>
      <c r="D1" s="59"/>
      <c r="E1" s="59"/>
      <c r="F1" s="59"/>
      <c r="G1" s="59"/>
      <c r="H1" s="59"/>
      <c r="I1" s="59"/>
      <c r="J1" s="59"/>
      <c r="K1" s="59"/>
      <c r="L1" s="59"/>
    </row>
    <row r="2" spans="1:14" ht="23.25">
      <c r="A2" s="71" t="str">
        <f>'Disclosure Summary'!A2</f>
        <v>Undergraduate Resident Tuition and Cost Disclosure, FY 2023-24</v>
      </c>
      <c r="B2" s="2"/>
      <c r="L2" s="69"/>
    </row>
    <row r="3" spans="1:14" ht="13.5" thickBot="1">
      <c r="A3" s="28" t="s">
        <v>69</v>
      </c>
    </row>
    <row r="4" spans="1:14" ht="13.5" thickBot="1">
      <c r="B4" s="17"/>
      <c r="C4" s="17" t="s">
        <v>72</v>
      </c>
      <c r="D4" s="30" t="s">
        <v>131</v>
      </c>
      <c r="E4" s="4"/>
      <c r="F4" s="4"/>
      <c r="G4" s="4"/>
      <c r="H4" s="4"/>
      <c r="I4" s="4"/>
      <c r="J4" s="4"/>
      <c r="K4" s="4"/>
      <c r="L4" s="4"/>
    </row>
    <row r="5" spans="1:14">
      <c r="B5" s="7"/>
      <c r="D5" s="4" t="s">
        <v>1</v>
      </c>
      <c r="E5" s="4" t="s">
        <v>2</v>
      </c>
      <c r="F5" s="4" t="s">
        <v>83</v>
      </c>
      <c r="G5" s="4" t="s">
        <v>4</v>
      </c>
      <c r="H5" s="4" t="s">
        <v>5</v>
      </c>
      <c r="I5" s="4" t="s">
        <v>6</v>
      </c>
      <c r="J5" s="4" t="s">
        <v>23</v>
      </c>
      <c r="K5" s="4" t="s">
        <v>24</v>
      </c>
      <c r="L5" s="4" t="s">
        <v>25</v>
      </c>
    </row>
    <row r="6" spans="1:14" ht="76.5">
      <c r="B6" s="7"/>
      <c r="D6" s="6" t="s">
        <v>49</v>
      </c>
      <c r="E6" s="6" t="s">
        <v>70</v>
      </c>
      <c r="F6" s="81" t="s">
        <v>75</v>
      </c>
      <c r="G6" s="81" t="s">
        <v>76</v>
      </c>
      <c r="H6" s="6" t="s">
        <v>77</v>
      </c>
      <c r="I6" s="6" t="s">
        <v>78</v>
      </c>
      <c r="J6" s="6" t="s">
        <v>79</v>
      </c>
      <c r="K6" s="6" t="s">
        <v>81</v>
      </c>
      <c r="L6" s="6" t="s">
        <v>82</v>
      </c>
    </row>
    <row r="7" spans="1:14" ht="27">
      <c r="A7" s="72"/>
      <c r="B7" s="7"/>
      <c r="C7" s="7"/>
      <c r="D7" s="9" t="s">
        <v>68</v>
      </c>
      <c r="E7" s="9" t="s">
        <v>71</v>
      </c>
      <c r="F7" s="9" t="s">
        <v>84</v>
      </c>
      <c r="G7" s="9" t="s">
        <v>84</v>
      </c>
      <c r="H7" s="9" t="s">
        <v>85</v>
      </c>
      <c r="I7" s="9" t="s">
        <v>94</v>
      </c>
      <c r="J7" s="9" t="s">
        <v>80</v>
      </c>
      <c r="K7" s="9" t="s">
        <v>117</v>
      </c>
      <c r="L7" s="9" t="s">
        <v>86</v>
      </c>
    </row>
    <row r="8" spans="1:14">
      <c r="A8" s="10"/>
      <c r="B8" s="10"/>
      <c r="C8" s="10"/>
      <c r="D8" s="10"/>
      <c r="E8" s="10"/>
    </row>
    <row r="9" spans="1:14">
      <c r="A9" s="10" t="s">
        <v>15</v>
      </c>
      <c r="B9" s="10"/>
      <c r="C9" s="10"/>
      <c r="D9" s="12">
        <f>+'Sched 2-Full Cost Estimates'!H9</f>
        <v>17950.297560133502</v>
      </c>
      <c r="E9" s="12">
        <f>+D9/2</f>
        <v>8975.148780066751</v>
      </c>
      <c r="F9" s="77"/>
      <c r="G9" s="77"/>
      <c r="I9" s="12"/>
      <c r="J9" s="13">
        <f>+'Sched 1-Actual Cost Study Calcs'!AA10</f>
        <v>0</v>
      </c>
      <c r="K9" s="12"/>
      <c r="L9" s="12"/>
    </row>
    <row r="10" spans="1:14">
      <c r="A10" s="10"/>
      <c r="B10" s="10" t="s">
        <v>73</v>
      </c>
      <c r="C10" s="10"/>
      <c r="D10" s="12"/>
      <c r="E10" s="12"/>
      <c r="F10" s="105">
        <v>4551.5</v>
      </c>
      <c r="G10" s="104">
        <v>591.89</v>
      </c>
      <c r="H10" s="83">
        <f>+G10+F10</f>
        <v>5143.3900000000003</v>
      </c>
      <c r="I10" s="12">
        <f>+E$9+G10</f>
        <v>9567.0387800667504</v>
      </c>
      <c r="J10" s="14"/>
      <c r="K10" s="12">
        <f>+I10*J9</f>
        <v>0</v>
      </c>
      <c r="L10" s="12">
        <f>I10-(H10+K10)</f>
        <v>4423.6487800667501</v>
      </c>
      <c r="N10" s="12"/>
    </row>
    <row r="11" spans="1:14">
      <c r="A11" s="10"/>
      <c r="B11" s="10" t="s">
        <v>74</v>
      </c>
      <c r="C11" s="10"/>
      <c r="D11" s="12"/>
      <c r="E11" s="12"/>
      <c r="F11" s="90">
        <v>4551.5</v>
      </c>
      <c r="G11" s="104">
        <v>591.89</v>
      </c>
      <c r="H11" s="83">
        <f>+G11+F11</f>
        <v>5143.3900000000003</v>
      </c>
      <c r="I11" s="14">
        <f>+E$9+G11</f>
        <v>9567.0387800667504</v>
      </c>
      <c r="J11" s="14"/>
      <c r="K11" s="61">
        <f>+I11*J9</f>
        <v>0</v>
      </c>
      <c r="L11" s="14">
        <f t="shared" ref="L11:L25" si="0">I11-(H11+K11)</f>
        <v>4423.6487800667501</v>
      </c>
      <c r="N11" s="12"/>
    </row>
    <row r="12" spans="1:14">
      <c r="A12" s="10" t="s">
        <v>16</v>
      </c>
      <c r="B12" s="10"/>
      <c r="C12" s="10"/>
      <c r="D12" s="14">
        <f>+'Sched 2-Full Cost Estimates'!H10</f>
        <v>13551.446389346513</v>
      </c>
      <c r="E12" s="14">
        <f>+D12/2</f>
        <v>6775.7231946732563</v>
      </c>
      <c r="F12" s="89"/>
      <c r="G12" s="89"/>
      <c r="H12" s="83"/>
      <c r="I12" s="14"/>
      <c r="J12" s="13">
        <f>+'Sched 1-Actual Cost Study Calcs'!AA11</f>
        <v>0</v>
      </c>
      <c r="K12" s="61"/>
      <c r="L12" s="14"/>
      <c r="N12" s="12"/>
    </row>
    <row r="13" spans="1:14">
      <c r="A13" s="10"/>
      <c r="B13" s="55" t="s">
        <v>18</v>
      </c>
      <c r="C13" s="10"/>
      <c r="D13" s="14"/>
      <c r="E13" s="14"/>
      <c r="F13" s="90">
        <v>3693.67</v>
      </c>
      <c r="G13" s="90">
        <v>458.77</v>
      </c>
      <c r="H13" s="83">
        <f>+G13+F13</f>
        <v>4152.4400000000005</v>
      </c>
      <c r="I13" s="14">
        <f>+G13+E$12</f>
        <v>7234.4931946732559</v>
      </c>
      <c r="J13" s="14"/>
      <c r="K13" s="61">
        <f>+I13*J12</f>
        <v>0</v>
      </c>
      <c r="L13" s="14">
        <f t="shared" si="0"/>
        <v>3082.0531946732553</v>
      </c>
      <c r="N13" s="12"/>
    </row>
    <row r="14" spans="1:14">
      <c r="A14" s="10" t="s">
        <v>17</v>
      </c>
      <c r="B14" s="10"/>
      <c r="C14" s="10"/>
      <c r="D14" s="14">
        <f>+'Sched 2-Full Cost Estimates'!H11</f>
        <v>13978.806489675517</v>
      </c>
      <c r="E14" s="14">
        <f>+D14/2</f>
        <v>6989.4032448377584</v>
      </c>
      <c r="F14" s="90"/>
      <c r="G14" s="90"/>
      <c r="H14" s="83"/>
      <c r="I14" s="14"/>
      <c r="J14" s="23">
        <f>+'Sched 1-Actual Cost Study Calcs'!AA12</f>
        <v>0</v>
      </c>
      <c r="K14" s="61"/>
      <c r="L14" s="14"/>
      <c r="N14" s="12"/>
    </row>
    <row r="15" spans="1:14">
      <c r="A15" s="10"/>
      <c r="B15" s="10" t="s">
        <v>18</v>
      </c>
      <c r="C15" s="10"/>
      <c r="D15" s="14"/>
      <c r="E15" s="14"/>
      <c r="F15" s="90">
        <v>2735.38</v>
      </c>
      <c r="G15" s="90">
        <f>3195.33-2735.38</f>
        <v>459.94999999999982</v>
      </c>
      <c r="H15" s="83">
        <f>+G15+F15</f>
        <v>3195.33</v>
      </c>
      <c r="I15" s="14">
        <f>+G15+E14</f>
        <v>7449.3532448377582</v>
      </c>
      <c r="J15" s="14"/>
      <c r="K15" s="61">
        <f>+I15*J14</f>
        <v>0</v>
      </c>
      <c r="L15" s="14">
        <f t="shared" si="0"/>
        <v>4254.0232448377583</v>
      </c>
      <c r="N15" s="12"/>
    </row>
    <row r="16" spans="1:14">
      <c r="A16" s="10" t="s">
        <v>19</v>
      </c>
      <c r="B16" s="10"/>
      <c r="C16" s="10"/>
      <c r="D16" s="14">
        <f>+'Sched 2-Full Cost Estimates'!H12</f>
        <v>10686.175549698395</v>
      </c>
      <c r="E16" s="14">
        <f>+D16/2</f>
        <v>5343.0877748491976</v>
      </c>
      <c r="F16" s="90"/>
      <c r="G16" s="90"/>
      <c r="H16" s="83"/>
      <c r="I16" s="14"/>
      <c r="J16" s="13">
        <f>+'Sched 1-Actual Cost Study Calcs'!AA13</f>
        <v>0</v>
      </c>
      <c r="K16" s="61"/>
      <c r="L16" s="14"/>
      <c r="N16" s="12"/>
    </row>
    <row r="17" spans="1:14">
      <c r="A17" s="10"/>
      <c r="B17" s="10" t="s">
        <v>18</v>
      </c>
      <c r="C17" s="10"/>
      <c r="D17" s="14"/>
      <c r="E17" s="14"/>
      <c r="F17" s="90">
        <v>3003</v>
      </c>
      <c r="G17" s="90">
        <v>381.75</v>
      </c>
      <c r="H17" s="83">
        <f>+G17+F17</f>
        <v>3384.75</v>
      </c>
      <c r="I17" s="14">
        <f>+G17+E16</f>
        <v>5724.8377748491976</v>
      </c>
      <c r="J17" s="14"/>
      <c r="K17" s="61">
        <f>+I17*J16</f>
        <v>0</v>
      </c>
      <c r="L17" s="14">
        <f t="shared" si="0"/>
        <v>2340.0877748491976</v>
      </c>
      <c r="N17" s="12"/>
    </row>
    <row r="18" spans="1:14">
      <c r="A18" s="10" t="s">
        <v>20</v>
      </c>
      <c r="B18" s="10"/>
      <c r="C18" s="10"/>
      <c r="D18" s="14">
        <f>+'Sched 2-Full Cost Estimates'!H13</f>
        <v>13072.42676944917</v>
      </c>
      <c r="E18" s="14">
        <f>+D18/2</f>
        <v>6536.213384724585</v>
      </c>
      <c r="F18" s="90"/>
      <c r="G18" s="90"/>
      <c r="H18" s="83"/>
      <c r="I18" s="14"/>
      <c r="J18" s="13">
        <f>+'Sched 1-Actual Cost Study Calcs'!AA14</f>
        <v>0</v>
      </c>
      <c r="K18" s="61"/>
      <c r="L18" s="14"/>
      <c r="N18" s="12"/>
    </row>
    <row r="19" spans="1:14">
      <c r="A19" s="10"/>
      <c r="B19" s="10" t="s">
        <v>18</v>
      </c>
      <c r="C19" s="10"/>
      <c r="D19" s="14"/>
      <c r="E19" s="14"/>
      <c r="F19" s="90">
        <v>1898</v>
      </c>
      <c r="G19" s="90">
        <v>192</v>
      </c>
      <c r="H19" s="83">
        <f>+G19+F19</f>
        <v>2090</v>
      </c>
      <c r="I19" s="14">
        <f>+G19+E18</f>
        <v>6728.213384724585</v>
      </c>
      <c r="J19" s="14"/>
      <c r="K19" s="61">
        <f>+I19*J18</f>
        <v>0</v>
      </c>
      <c r="L19" s="14">
        <f t="shared" si="0"/>
        <v>4638.213384724585</v>
      </c>
      <c r="N19" s="12"/>
    </row>
    <row r="20" spans="1:14">
      <c r="A20" s="55" t="s">
        <v>128</v>
      </c>
      <c r="B20" s="10"/>
      <c r="C20" s="10"/>
      <c r="D20" s="14">
        <f>+'Sched 2-Full Cost Estimates'!H14</f>
        <v>9950.6943748229187</v>
      </c>
      <c r="E20" s="14">
        <f>+D20/2</f>
        <v>4975.3471874114593</v>
      </c>
      <c r="F20" s="90"/>
      <c r="G20" s="90"/>
      <c r="H20" s="83"/>
      <c r="I20" s="14"/>
      <c r="J20" s="13">
        <f>+'Sched 1-Actual Cost Study Calcs'!AA15</f>
        <v>0</v>
      </c>
      <c r="K20" s="61"/>
      <c r="L20" s="14"/>
      <c r="N20" s="12"/>
    </row>
    <row r="21" spans="1:14">
      <c r="A21" s="10"/>
      <c r="B21" s="10" t="s">
        <v>18</v>
      </c>
      <c r="C21" s="10"/>
      <c r="D21" s="14"/>
      <c r="E21" s="14"/>
      <c r="F21" s="90">
        <v>2633.28</v>
      </c>
      <c r="G21" s="90">
        <v>404</v>
      </c>
      <c r="H21" s="83">
        <f>+G21+F21</f>
        <v>3037.28</v>
      </c>
      <c r="I21" s="14">
        <f>+G21+E20</f>
        <v>5379.3471874114593</v>
      </c>
      <c r="J21" s="14"/>
      <c r="K21" s="61">
        <f>+I21*J20</f>
        <v>0</v>
      </c>
      <c r="L21" s="14">
        <f t="shared" si="0"/>
        <v>2342.0671874114591</v>
      </c>
      <c r="N21" s="12"/>
    </row>
    <row r="22" spans="1:14">
      <c r="A22" s="10" t="s">
        <v>97</v>
      </c>
      <c r="B22" s="10"/>
      <c r="C22" s="10"/>
      <c r="D22" s="14">
        <f>+'Sched 2-Full Cost Estimates'!H15</f>
        <v>14289.75668932826</v>
      </c>
      <c r="E22" s="14">
        <f>+D22/2</f>
        <v>7144.8783446641301</v>
      </c>
      <c r="F22" s="90"/>
      <c r="G22" s="90"/>
      <c r="H22" s="83"/>
      <c r="I22" s="14"/>
      <c r="J22" s="13">
        <f>+'Sched 1-Actual Cost Study Calcs'!AA16</f>
        <v>0</v>
      </c>
      <c r="K22" s="61"/>
      <c r="L22" s="14"/>
      <c r="N22" s="12"/>
    </row>
    <row r="23" spans="1:14">
      <c r="A23" s="10"/>
      <c r="B23" s="10" t="s">
        <v>18</v>
      </c>
      <c r="C23" s="10"/>
      <c r="D23" s="14"/>
      <c r="E23" s="14"/>
      <c r="F23" s="90">
        <v>2807</v>
      </c>
      <c r="G23" s="90">
        <v>328</v>
      </c>
      <c r="H23" s="83">
        <f>+G23+F23</f>
        <v>3135</v>
      </c>
      <c r="I23" s="14">
        <f>+G23+E$22</f>
        <v>7472.8783446641301</v>
      </c>
      <c r="J23" s="14"/>
      <c r="K23" s="61">
        <f>+I23*J22</f>
        <v>0</v>
      </c>
      <c r="L23" s="14">
        <f t="shared" si="0"/>
        <v>4337.8783446641301</v>
      </c>
      <c r="N23" s="12"/>
    </row>
    <row r="24" spans="1:14">
      <c r="A24" s="10" t="s">
        <v>21</v>
      </c>
      <c r="B24" s="10"/>
      <c r="C24" s="10"/>
      <c r="D24" s="14">
        <f>+'Sched 2-Full Cost Estimates'!H16</f>
        <v>14683.268892303395</v>
      </c>
      <c r="E24" s="14">
        <f>+D24/2</f>
        <v>7341.6344461516974</v>
      </c>
      <c r="F24" s="90"/>
      <c r="G24" s="90"/>
      <c r="H24" s="83"/>
      <c r="I24" s="14"/>
      <c r="J24" s="13">
        <f>+'Sched 1-Actual Cost Study Calcs'!AA17</f>
        <v>0</v>
      </c>
      <c r="K24" s="61"/>
      <c r="L24" s="14"/>
      <c r="N24" s="12"/>
    </row>
    <row r="25" spans="1:14">
      <c r="A25" s="10"/>
      <c r="B25" s="10" t="s">
        <v>18</v>
      </c>
      <c r="C25" s="10"/>
      <c r="D25" s="11"/>
      <c r="E25" s="11"/>
      <c r="F25" s="90">
        <v>1888.75</v>
      </c>
      <c r="G25" s="90">
        <f>2128.25-1888.75</f>
        <v>239.5</v>
      </c>
      <c r="H25" s="83">
        <f>+G25+F25</f>
        <v>2128.25</v>
      </c>
      <c r="I25" s="14">
        <f>+G25+E$24</f>
        <v>7581.1344461516974</v>
      </c>
      <c r="J25" s="14"/>
      <c r="K25" s="61">
        <f>+I25*J24</f>
        <v>0</v>
      </c>
      <c r="L25" s="14">
        <f t="shared" si="0"/>
        <v>5452.8844461516974</v>
      </c>
      <c r="N25" s="12"/>
    </row>
    <row r="26" spans="1:14">
      <c r="A26" s="10"/>
      <c r="B26" s="10"/>
      <c r="C26" s="10"/>
      <c r="D26" s="11"/>
      <c r="E26" s="11"/>
      <c r="F26" s="76"/>
      <c r="G26" s="76"/>
      <c r="H26" s="12"/>
      <c r="I26" s="12"/>
      <c r="J26" s="14"/>
      <c r="K26" s="12"/>
      <c r="L26" s="12"/>
    </row>
    <row r="27" spans="1:14">
      <c r="A27" s="10" t="s">
        <v>22</v>
      </c>
      <c r="B27" s="10"/>
      <c r="C27" s="10"/>
      <c r="D27" s="18">
        <f>+'Sched 2-Full Cost Estimates'!H18</f>
        <v>14416.612943582053</v>
      </c>
      <c r="E27" s="19">
        <f>+D27/2</f>
        <v>7208.3064717910265</v>
      </c>
      <c r="F27" s="18"/>
      <c r="G27" s="18"/>
      <c r="H27" s="18"/>
      <c r="I27" s="18"/>
      <c r="J27" s="21">
        <f>+'Sched 1-Actual Cost Study Calcs'!AA19</f>
        <v>0</v>
      </c>
      <c r="K27" s="19">
        <f>IF(J27=0,0,+F27/J27)</f>
        <v>0</v>
      </c>
      <c r="L27" s="19">
        <f>+I27-H27-K27</f>
        <v>0</v>
      </c>
    </row>
    <row r="28" spans="1:14">
      <c r="A28" s="10"/>
      <c r="B28" s="10"/>
      <c r="C28" s="10"/>
      <c r="D28" s="10"/>
      <c r="E28" s="10"/>
    </row>
    <row r="29" spans="1:14" ht="12.75" customHeight="1">
      <c r="A29" s="10"/>
      <c r="B29" s="10"/>
      <c r="C29" s="10"/>
      <c r="D29" s="11"/>
      <c r="E29" s="11"/>
    </row>
    <row r="30" spans="1:14">
      <c r="A30" s="10"/>
      <c r="B30" s="10"/>
      <c r="C30" s="10"/>
      <c r="D30" s="11"/>
      <c r="E30" s="11"/>
    </row>
    <row r="31" spans="1:14" ht="33.75">
      <c r="A31" s="10"/>
      <c r="B31" s="10"/>
      <c r="C31" s="10"/>
      <c r="D31" s="11"/>
      <c r="E31" s="11"/>
      <c r="F31" s="45"/>
    </row>
    <row r="32" spans="1:14">
      <c r="A32" s="10"/>
      <c r="B32" s="10"/>
      <c r="C32" s="10"/>
      <c r="D32" s="10"/>
      <c r="E32" s="10"/>
    </row>
    <row r="33" spans="1:5">
      <c r="A33" s="10"/>
      <c r="B33" s="10"/>
      <c r="C33" s="10"/>
      <c r="D33" s="10"/>
      <c r="E33" s="10"/>
    </row>
    <row r="34" spans="1:5">
      <c r="A34" s="10"/>
      <c r="B34" s="10"/>
      <c r="C34" s="10"/>
      <c r="D34" s="11"/>
      <c r="E34" s="11"/>
    </row>
    <row r="35" spans="1:5">
      <c r="A35" s="10"/>
      <c r="B35" s="10"/>
      <c r="C35" s="10"/>
      <c r="D35" s="10"/>
      <c r="E35" s="10"/>
    </row>
    <row r="36" spans="1:5">
      <c r="A36" s="10"/>
      <c r="B36" s="10"/>
      <c r="C36" s="10"/>
      <c r="D36" s="11"/>
      <c r="E36" s="11"/>
    </row>
    <row r="37" spans="1:5">
      <c r="A37" s="10"/>
      <c r="B37" s="10"/>
      <c r="C37" s="10"/>
      <c r="D37" s="10"/>
      <c r="E37" s="10"/>
    </row>
    <row r="38" spans="1:5">
      <c r="A38" s="10"/>
      <c r="B38" s="10"/>
      <c r="C38" s="10"/>
      <c r="D38" s="11"/>
      <c r="E38" s="11"/>
    </row>
    <row r="39" spans="1:5">
      <c r="A39" s="10"/>
      <c r="B39" s="10"/>
      <c r="C39" s="10"/>
      <c r="D39" s="10"/>
      <c r="E39" s="10"/>
    </row>
  </sheetData>
  <phoneticPr fontId="12" type="noConversion"/>
  <pageMargins left="0.6" right="0.6" top="0.6" bottom="0.6" header="0.35" footer="0.35"/>
  <pageSetup scale="98" orientation="landscape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zoomScaleNormal="100" zoomScaleSheetLayoutView="80" workbookViewId="0">
      <selection activeCell="D7" sqref="D7"/>
    </sheetView>
  </sheetViews>
  <sheetFormatPr defaultRowHeight="12.75"/>
  <cols>
    <col min="1" max="1" width="5.5" customWidth="1"/>
    <col min="2" max="2" width="31" bestFit="1" customWidth="1"/>
    <col min="3" max="3" width="12.83203125" customWidth="1"/>
    <col min="4" max="4" width="10.5" bestFit="1" customWidth="1"/>
    <col min="5" max="5" width="13" customWidth="1"/>
  </cols>
  <sheetData>
    <row r="1" spans="1:6" ht="16.5" thickBot="1">
      <c r="A1" s="1" t="s">
        <v>0</v>
      </c>
      <c r="B1" s="1"/>
      <c r="C1" s="3"/>
      <c r="D1" s="59"/>
      <c r="E1" s="59"/>
      <c r="F1" s="69"/>
    </row>
    <row r="2" spans="1:6" ht="21" customHeight="1">
      <c r="A2" s="66" t="s">
        <v>88</v>
      </c>
    </row>
    <row r="3" spans="1:6">
      <c r="B3" s="38"/>
    </row>
    <row r="4" spans="1:6">
      <c r="C4" s="33" t="s">
        <v>127</v>
      </c>
      <c r="D4" s="33" t="s">
        <v>131</v>
      </c>
      <c r="E4" s="33" t="s">
        <v>119</v>
      </c>
    </row>
    <row r="5" spans="1:6">
      <c r="A5" s="35" t="s">
        <v>15</v>
      </c>
      <c r="B5" s="34"/>
      <c r="C5" s="36"/>
      <c r="D5" s="39"/>
    </row>
    <row r="6" spans="1:6">
      <c r="A6" s="35"/>
      <c r="B6" s="34" t="s">
        <v>90</v>
      </c>
      <c r="C6" s="37">
        <v>8530.9271926460642</v>
      </c>
      <c r="D6" s="60">
        <f>'Disclosure Summary'!D8</f>
        <v>9567.0387800667504</v>
      </c>
      <c r="E6" s="73">
        <f>(D6-C6)/C6</f>
        <v>0.12145357286765358</v>
      </c>
    </row>
    <row r="7" spans="1:6">
      <c r="A7" s="35"/>
      <c r="B7" s="34" t="s">
        <v>91</v>
      </c>
      <c r="C7" s="37">
        <v>8530.9271926460642</v>
      </c>
      <c r="D7" s="60">
        <f>'Disclosure Summary'!D9</f>
        <v>9567.0387800667504</v>
      </c>
      <c r="E7" s="73">
        <f t="shared" ref="E7:E21" si="0">(D7-C7)/C7</f>
        <v>0.12145357286765358</v>
      </c>
    </row>
    <row r="8" spans="1:6">
      <c r="A8" s="35" t="s">
        <v>16</v>
      </c>
      <c r="B8" s="34"/>
      <c r="C8" s="36"/>
      <c r="D8" s="60"/>
      <c r="E8" s="73"/>
    </row>
    <row r="9" spans="1:6">
      <c r="A9" s="35"/>
      <c r="B9" s="34" t="s">
        <v>18</v>
      </c>
      <c r="C9" s="37">
        <v>8187.3993220448519</v>
      </c>
      <c r="D9" s="60">
        <f>'Disclosure Summary'!D11</f>
        <v>7234.4931946732559</v>
      </c>
      <c r="E9" s="73">
        <f t="shared" si="0"/>
        <v>-0.11638691236249633</v>
      </c>
    </row>
    <row r="10" spans="1:6">
      <c r="A10" s="35" t="s">
        <v>17</v>
      </c>
      <c r="B10" s="34"/>
      <c r="C10" s="36"/>
      <c r="D10" s="60"/>
      <c r="E10" s="73"/>
    </row>
    <row r="11" spans="1:6">
      <c r="A11" s="35"/>
      <c r="B11" s="34" t="s">
        <v>18</v>
      </c>
      <c r="C11" s="37">
        <v>6233.8894728522882</v>
      </c>
      <c r="D11" s="60">
        <f>'Disclosure Summary'!D13</f>
        <v>7449.3532448377582</v>
      </c>
      <c r="E11" s="73">
        <f t="shared" si="0"/>
        <v>0.19497679214215197</v>
      </c>
    </row>
    <row r="12" spans="1:6">
      <c r="A12" s="35" t="s">
        <v>19</v>
      </c>
      <c r="B12" s="34"/>
      <c r="C12" s="36"/>
      <c r="D12" s="60"/>
      <c r="E12" s="73"/>
    </row>
    <row r="13" spans="1:6">
      <c r="A13" s="35"/>
      <c r="B13" s="34" t="s">
        <v>18</v>
      </c>
      <c r="C13" s="37">
        <v>5814.0483430895929</v>
      </c>
      <c r="D13" s="60">
        <f>'Disclosure Summary'!D15</f>
        <v>5724.8377748491976</v>
      </c>
      <c r="E13" s="73">
        <f t="shared" si="0"/>
        <v>-1.5343967400344787E-2</v>
      </c>
    </row>
    <row r="14" spans="1:6">
      <c r="A14" s="35" t="s">
        <v>20</v>
      </c>
      <c r="B14" s="34"/>
      <c r="C14" s="36"/>
      <c r="D14" s="60"/>
      <c r="E14" s="73"/>
    </row>
    <row r="15" spans="1:6">
      <c r="A15" s="35"/>
      <c r="B15" s="34" t="s">
        <v>18</v>
      </c>
      <c r="C15" s="37">
        <v>7406.5901733863348</v>
      </c>
      <c r="D15" s="60">
        <f>'Disclosure Summary'!D17</f>
        <v>6728.213384724585</v>
      </c>
      <c r="E15" s="73">
        <f t="shared" si="0"/>
        <v>-9.1590971389144932E-2</v>
      </c>
    </row>
    <row r="16" spans="1:6">
      <c r="A16" s="35" t="s">
        <v>128</v>
      </c>
      <c r="B16" s="34"/>
      <c r="C16" s="36"/>
      <c r="D16" s="60"/>
      <c r="E16" s="73"/>
    </row>
    <row r="17" spans="1:5">
      <c r="A17" s="35"/>
      <c r="B17" s="34" t="s">
        <v>18</v>
      </c>
      <c r="C17" s="37">
        <v>5948.5485218508993</v>
      </c>
      <c r="D17" s="60">
        <f>'Disclosure Summary'!D19</f>
        <v>5379.3471874114593</v>
      </c>
      <c r="E17" s="73">
        <f t="shared" si="0"/>
        <v>-9.5687432379274295E-2</v>
      </c>
    </row>
    <row r="18" spans="1:5">
      <c r="A18" s="35" t="s">
        <v>97</v>
      </c>
      <c r="B18" s="34"/>
      <c r="C18" s="36"/>
      <c r="D18" s="60"/>
      <c r="E18" s="73"/>
    </row>
    <row r="19" spans="1:5">
      <c r="A19" s="35"/>
      <c r="B19" s="34" t="s">
        <v>18</v>
      </c>
      <c r="C19" s="37">
        <v>6462.4244011272895</v>
      </c>
      <c r="D19" s="60">
        <f>'Disclosure Summary'!D22</f>
        <v>7472.8783446641301</v>
      </c>
      <c r="E19" s="73">
        <f t="shared" si="0"/>
        <v>0.15635833873129401</v>
      </c>
    </row>
    <row r="20" spans="1:5">
      <c r="A20" s="35" t="s">
        <v>21</v>
      </c>
      <c r="B20" s="34"/>
      <c r="C20" s="36"/>
      <c r="D20" s="60"/>
      <c r="E20" s="73"/>
    </row>
    <row r="21" spans="1:5">
      <c r="A21" s="34"/>
      <c r="B21" s="34" t="s">
        <v>18</v>
      </c>
      <c r="C21" s="37">
        <v>6539.2210604058155</v>
      </c>
      <c r="D21" s="60">
        <f>'Disclosure Summary'!D24</f>
        <v>7581.1344461516974</v>
      </c>
      <c r="E21" s="73">
        <f t="shared" si="0"/>
        <v>0.15933295053359492</v>
      </c>
    </row>
    <row r="23" spans="1:5" ht="62.25" customHeight="1">
      <c r="A23" s="120" t="s">
        <v>118</v>
      </c>
      <c r="B23" s="120"/>
      <c r="C23" s="120"/>
      <c r="D23" s="120"/>
      <c r="E23" s="120"/>
    </row>
    <row r="28" spans="1:5">
      <c r="A28" s="56"/>
    </row>
    <row r="29" spans="1:5">
      <c r="A29" s="56"/>
    </row>
  </sheetData>
  <mergeCells count="1">
    <mergeCell ref="A23:E23"/>
  </mergeCells>
  <pageMargins left="0.6" right="0.6" top="0.6" bottom="0.6" header="0.35" footer="0.35"/>
  <pageSetup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Disclosure Summary</vt:lpstr>
      <vt:lpstr>Sched 1-Actual Cost Study Calcs</vt:lpstr>
      <vt:lpstr>Sched 2-Full Cost Estimates</vt:lpstr>
      <vt:lpstr>Sched 3-Full Cost Dist by Inst</vt:lpstr>
      <vt:lpstr>Change in cost of instruction</vt:lpstr>
      <vt:lpstr>'Change in cost of instruction'!Print_Area</vt:lpstr>
      <vt:lpstr>'Disclosure Summary'!Print_Area</vt:lpstr>
      <vt:lpstr>'Sched 1-Actual Cost Study Calcs'!Print_Area</vt:lpstr>
      <vt:lpstr>'Sched 1-Actual Cost Study Calcs'!Print_Titles</vt:lpstr>
    </vt:vector>
  </TitlesOfParts>
  <Company>UHEAA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mortensen</dc:creator>
  <cp:lastModifiedBy>Brian Shuppy</cp:lastModifiedBy>
  <cp:lastPrinted>2015-04-27T19:39:07Z</cp:lastPrinted>
  <dcterms:created xsi:type="dcterms:W3CDTF">2004-06-22T21:06:52Z</dcterms:created>
  <dcterms:modified xsi:type="dcterms:W3CDTF">2023-03-22T16:01:02Z</dcterms:modified>
</cp:coreProperties>
</file>